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4625" activeTab="1"/>
  </bookViews>
  <sheets>
    <sheet name="TEK HELİS DİŞLİ " sheetId="1" r:id="rId1"/>
    <sheet name="ÇİFT HELİS DİŞLİ" sheetId="2" r:id="rId2"/>
    <sheet name="TEK DÜZ DİŞLİ" sheetId="3" r:id="rId3"/>
    <sheet name="ÇİFT DÜZ DİŞLİ" sheetId="4" r:id="rId4"/>
  </sheets>
  <definedNames/>
  <calcPr fullCalcOnLoad="1"/>
</workbook>
</file>

<file path=xl/sharedStrings.xml><?xml version="1.0" encoding="utf-8"?>
<sst xmlns="http://schemas.openxmlformats.org/spreadsheetml/2006/main" count="271" uniqueCount="112">
  <si>
    <t>α</t>
  </si>
  <si>
    <t>M</t>
  </si>
  <si>
    <r>
      <t>Z</t>
    </r>
    <r>
      <rPr>
        <vertAlign val="subscript"/>
        <sz val="10"/>
        <rFont val="Arial Tur"/>
        <family val="0"/>
      </rPr>
      <t>1</t>
    </r>
  </si>
  <si>
    <r>
      <t>Z</t>
    </r>
    <r>
      <rPr>
        <vertAlign val="subscript"/>
        <sz val="10"/>
        <rFont val="Arial Tur"/>
        <family val="0"/>
      </rPr>
      <t>2</t>
    </r>
  </si>
  <si>
    <r>
      <t>Do</t>
    </r>
    <r>
      <rPr>
        <vertAlign val="subscript"/>
        <sz val="10"/>
        <rFont val="Arial Tur"/>
        <family val="0"/>
      </rPr>
      <t>1hesap</t>
    </r>
  </si>
  <si>
    <r>
      <t>Do</t>
    </r>
    <r>
      <rPr>
        <vertAlign val="subscript"/>
        <sz val="10"/>
        <rFont val="Arial Tur"/>
        <family val="0"/>
      </rPr>
      <t>2hesap</t>
    </r>
  </si>
  <si>
    <r>
      <t>C</t>
    </r>
    <r>
      <rPr>
        <vertAlign val="subscript"/>
        <sz val="10"/>
        <rFont val="Arial Tur"/>
        <family val="0"/>
      </rPr>
      <t>hesap</t>
    </r>
  </si>
  <si>
    <t>Y</t>
  </si>
  <si>
    <r>
      <t>h</t>
    </r>
    <r>
      <rPr>
        <vertAlign val="subscript"/>
        <sz val="10"/>
        <rFont val="Arial Tur"/>
        <family val="0"/>
      </rPr>
      <t>a1</t>
    </r>
  </si>
  <si>
    <r>
      <t>h</t>
    </r>
    <r>
      <rPr>
        <vertAlign val="subscript"/>
        <sz val="10"/>
        <rFont val="Arial Tur"/>
        <family val="0"/>
      </rPr>
      <t>a2</t>
    </r>
  </si>
  <si>
    <r>
      <t>X</t>
    </r>
    <r>
      <rPr>
        <vertAlign val="subscript"/>
        <sz val="10"/>
        <rFont val="Arial Tur"/>
        <family val="0"/>
      </rPr>
      <t>1</t>
    </r>
  </si>
  <si>
    <r>
      <t>X</t>
    </r>
    <r>
      <rPr>
        <vertAlign val="subscript"/>
        <sz val="10"/>
        <rFont val="Arial Tur"/>
        <family val="0"/>
      </rPr>
      <t>2</t>
    </r>
  </si>
  <si>
    <r>
      <t>C</t>
    </r>
    <r>
      <rPr>
        <vertAlign val="subscript"/>
        <sz val="10"/>
        <rFont val="Arial Tur"/>
        <family val="0"/>
      </rPr>
      <t>ölçülen</t>
    </r>
  </si>
  <si>
    <r>
      <t>H</t>
    </r>
    <r>
      <rPr>
        <vertAlign val="subscript"/>
        <sz val="10"/>
        <rFont val="Arial Tur"/>
        <family val="0"/>
      </rPr>
      <t>diş yüksekliği</t>
    </r>
  </si>
  <si>
    <r>
      <t>D</t>
    </r>
    <r>
      <rPr>
        <vertAlign val="subscript"/>
        <sz val="10"/>
        <rFont val="Arial Tur"/>
        <family val="0"/>
      </rPr>
      <t>t1 taksimat dairesi</t>
    </r>
  </si>
  <si>
    <r>
      <t>D</t>
    </r>
    <r>
      <rPr>
        <vertAlign val="subscript"/>
        <sz val="10"/>
        <rFont val="Arial Tur"/>
        <family val="0"/>
      </rPr>
      <t>t2 taksimat dairesi</t>
    </r>
  </si>
  <si>
    <r>
      <t>S1</t>
    </r>
    <r>
      <rPr>
        <vertAlign val="subscript"/>
        <sz val="10"/>
        <rFont val="Arial Tur"/>
        <family val="0"/>
      </rPr>
      <t>arada ölçülen diş sayısı</t>
    </r>
  </si>
  <si>
    <r>
      <t>S2</t>
    </r>
    <r>
      <rPr>
        <vertAlign val="subscript"/>
        <sz val="10"/>
        <rFont val="Arial Tur"/>
        <family val="0"/>
      </rPr>
      <t>arada ölçülen diş sayısı</t>
    </r>
  </si>
  <si>
    <r>
      <t xml:space="preserve">W1 </t>
    </r>
    <r>
      <rPr>
        <vertAlign val="subscript"/>
        <sz val="10"/>
        <rFont val="Arial Tur"/>
        <family val="0"/>
      </rPr>
      <t>kirişsel ölçü</t>
    </r>
  </si>
  <si>
    <r>
      <t>Do</t>
    </r>
    <r>
      <rPr>
        <vertAlign val="subscript"/>
        <sz val="10"/>
        <rFont val="Arial Tur"/>
        <family val="0"/>
      </rPr>
      <t>1 ölçülen dış çap</t>
    </r>
  </si>
  <si>
    <r>
      <t>Do</t>
    </r>
    <r>
      <rPr>
        <vertAlign val="subscript"/>
        <sz val="10"/>
        <rFont val="Arial Tur"/>
        <family val="0"/>
      </rPr>
      <t>2 ölçülen dış çap</t>
    </r>
  </si>
  <si>
    <r>
      <t>inv</t>
    </r>
    <r>
      <rPr>
        <sz val="10"/>
        <rFont val="Arial"/>
        <family val="0"/>
      </rPr>
      <t>α</t>
    </r>
  </si>
  <si>
    <t>tan(α)</t>
  </si>
  <si>
    <t>Cos(α)</t>
  </si>
  <si>
    <t>Sin(α)</t>
  </si>
  <si>
    <r>
      <t xml:space="preserve">W2 </t>
    </r>
    <r>
      <rPr>
        <vertAlign val="subscript"/>
        <sz val="10"/>
        <rFont val="Arial Tur"/>
        <family val="0"/>
      </rPr>
      <t>kirişsel ölçü</t>
    </r>
  </si>
  <si>
    <r>
      <t>D</t>
    </r>
    <r>
      <rPr>
        <vertAlign val="subscript"/>
        <sz val="10"/>
        <rFont val="Arial Tur"/>
        <family val="0"/>
      </rPr>
      <t>i1 diş dibi çapı</t>
    </r>
  </si>
  <si>
    <r>
      <t>D</t>
    </r>
    <r>
      <rPr>
        <vertAlign val="subscript"/>
        <sz val="10"/>
        <rFont val="Arial Tur"/>
        <family val="0"/>
      </rPr>
      <t>i2 diş dibi çapı</t>
    </r>
  </si>
  <si>
    <t>DİŞ SAYISI (Z)</t>
  </si>
  <si>
    <t>PİNYON</t>
  </si>
  <si>
    <t>ÇARK</t>
  </si>
  <si>
    <r>
      <t>KAVRAMA AÇISI (</t>
    </r>
    <r>
      <rPr>
        <b/>
        <sz val="10"/>
        <rFont val="Arial"/>
        <family val="0"/>
      </rPr>
      <t>α</t>
    </r>
    <r>
      <rPr>
        <b/>
        <sz val="10"/>
        <rFont val="Arial Tur"/>
        <family val="0"/>
      </rPr>
      <t>)</t>
    </r>
  </si>
  <si>
    <t>EKSEN MESAFESİ (C )</t>
  </si>
  <si>
    <r>
      <t>DİŞ ÜSTÜ ÇAPI (D</t>
    </r>
    <r>
      <rPr>
        <b/>
        <vertAlign val="subscript"/>
        <sz val="10"/>
        <rFont val="Arial Tur"/>
        <family val="0"/>
      </rPr>
      <t>O</t>
    </r>
    <r>
      <rPr>
        <b/>
        <sz val="10"/>
        <rFont val="Arial Tur"/>
        <family val="0"/>
      </rPr>
      <t>)</t>
    </r>
  </si>
  <si>
    <t>DÜZ DİŞLİ HESAP TABLOSU</t>
  </si>
  <si>
    <r>
      <t>TAKSİMAT DAİRESİ ÇAPI (D</t>
    </r>
    <r>
      <rPr>
        <b/>
        <vertAlign val="subscript"/>
        <sz val="10"/>
        <rFont val="Arial Tur"/>
        <family val="0"/>
      </rPr>
      <t>t</t>
    </r>
    <r>
      <rPr>
        <b/>
        <sz val="10"/>
        <rFont val="Arial Tur"/>
        <family val="0"/>
      </rPr>
      <t>)</t>
    </r>
  </si>
  <si>
    <r>
      <t>DİŞ DİBİ ÇAPI (D</t>
    </r>
    <r>
      <rPr>
        <b/>
        <vertAlign val="subscript"/>
        <sz val="10"/>
        <rFont val="Arial Tur"/>
        <family val="0"/>
      </rPr>
      <t>i</t>
    </r>
    <r>
      <rPr>
        <b/>
        <sz val="10"/>
        <rFont val="Arial Tur"/>
        <family val="0"/>
      </rPr>
      <t>)</t>
    </r>
  </si>
  <si>
    <t>DİŞ YÜKSEKLİĞİ (H)</t>
  </si>
  <si>
    <t>ÖLÇÜLECEK DİŞ SAYISI (S)</t>
  </si>
  <si>
    <t>KİRİŞSEL ÖLÇÜ (W)</t>
  </si>
  <si>
    <t xml:space="preserve">   GİRİŞ DEĞERLERİ</t>
  </si>
  <si>
    <t>PROFİL KAYDIRMA (X)</t>
  </si>
  <si>
    <t>Not: Ondalıklı değerler için virgül kullanılacaktır.</t>
  </si>
  <si>
    <t xml:space="preserve">   HESAP DEĞERLERİ</t>
  </si>
  <si>
    <t>Yaklaşık modül</t>
  </si>
  <si>
    <t>Eğer Modül bilinmiyorsa
Büyük olan dişlinin dış çapı ve diş sayısı aşağıdaki tabloya girilerek  çıkan yaklaşık modüle en yakın standart modül tablodan seçilmeli ve soldaki tabloda modül değeri olarak girilmelidir</t>
  </si>
  <si>
    <t>Diş sayısı (Z)</t>
  </si>
  <si>
    <t>Dış çap (Do)</t>
  </si>
  <si>
    <t>STANDART METRİK MODÜLLER</t>
  </si>
  <si>
    <t>M (mm)</t>
  </si>
  <si>
    <t>Yandaki standart metrik modul tablosunda sarı boyalı olan modüller en sık kullanılan modüllerdir.
Çok gerekmedikçe diğer modüller kullanılmamalıdır</t>
  </si>
  <si>
    <t>HELİS AÇISI (β)</t>
  </si>
  <si>
    <t>β  HELİS AÇISI</t>
  </si>
  <si>
    <t>Mn  NORMAL MODÜL</t>
  </si>
  <si>
    <t>Ma ALIN MODÜLÜ</t>
  </si>
  <si>
    <t>HELİS DİŞLİ HESAP TABLOSU</t>
  </si>
  <si>
    <r>
      <t>MODÜL (M</t>
    </r>
    <r>
      <rPr>
        <b/>
        <vertAlign val="subscript"/>
        <sz val="10"/>
        <rFont val="Arial Tur"/>
        <family val="0"/>
      </rPr>
      <t>n</t>
    </r>
    <r>
      <rPr>
        <b/>
        <sz val="10"/>
        <rFont val="Arial Tur"/>
        <family val="0"/>
      </rPr>
      <t>)</t>
    </r>
  </si>
  <si>
    <r>
      <t>ALIN MODÜLÜ (M</t>
    </r>
    <r>
      <rPr>
        <b/>
        <vertAlign val="subscript"/>
        <sz val="10"/>
        <rFont val="Arial Tur"/>
        <family val="0"/>
      </rPr>
      <t>a</t>
    </r>
    <r>
      <rPr>
        <b/>
        <sz val="10"/>
        <rFont val="Arial Tur"/>
        <family val="0"/>
      </rPr>
      <t>)</t>
    </r>
  </si>
  <si>
    <t>X profil kaydırma faktörü</t>
  </si>
  <si>
    <t>β  Helis açısı</t>
  </si>
  <si>
    <t>Ma</t>
  </si>
  <si>
    <t>MODÜL (Mn)</t>
  </si>
  <si>
    <t>ALIN MODÜLÜ (Ma)</t>
  </si>
  <si>
    <t>HELİS YÖNÜ</t>
  </si>
  <si>
    <t>SAĞ</t>
  </si>
  <si>
    <t>SOL</t>
  </si>
  <si>
    <t>DİŞ YÜKSEKLİĞİ (h)</t>
  </si>
  <si>
    <t>İki diş üstünden ölçü Da</t>
  </si>
  <si>
    <t>DİŞ DİBİ ÇAPI (Di)</t>
  </si>
  <si>
    <t>İki diş arası mesafe T</t>
  </si>
  <si>
    <t>MODÜL M</t>
  </si>
  <si>
    <t>TABLO 1</t>
  </si>
  <si>
    <t>TABLO 2</t>
  </si>
  <si>
    <t>TABLO 3</t>
  </si>
  <si>
    <t>Dıştan diş dibine ölçü Db</t>
  </si>
  <si>
    <t>Eğer diş sayısı TEK ise Do dış çapı ve Di diş dibi çapını hassas ölçmek mümkün olmaz.
Bu durumda aşağıdaki ölçüler girilerek 
Dış çap ve Diş dibi çapının hesabı yapılarak
TABLO 1 de girilmelidir.
Çift sayılı dişlerde ise ölçü direkt soldaki tabloda girilmeli</t>
  </si>
  <si>
    <t>DİŞ ÜSTÜ ÇAPI (Do)</t>
  </si>
  <si>
    <t>DİŞ BAŞI YÜKSEKLİĞİ (ha)</t>
  </si>
  <si>
    <t>DİŞ DİBİ YÜKSEKLİĞİ (hf)</t>
  </si>
  <si>
    <t>TABAN DAİRESİ ÇAPI (Db)</t>
  </si>
  <si>
    <t>Eğer diş sayısı TEK ise Do dış çapı ve Di diş dibi çapını hassas ölçmek mümkün olmaz.
Bu durumda aşağıdaki ölçüler girilerek 
Dış çap ve Diş dibi çapının hesabı yapılarak
TABLO 1 de girilmelidir.
Çift sayılı dişlerde ise ölçü direkt soldaki tabloda girilm</t>
  </si>
  <si>
    <t>DİŞ BAŞI YÜKSEKLİĞİ (Ha)</t>
  </si>
  <si>
    <t>DİŞ DİBİ YÜKSEKLİĞİ (Hf)</t>
  </si>
  <si>
    <r>
      <t>RADYAL BASINÇ AÇISI (</t>
    </r>
    <r>
      <rPr>
        <sz val="10"/>
        <rFont val="Arial"/>
        <family val="0"/>
      </rPr>
      <t>α</t>
    </r>
    <r>
      <rPr>
        <vertAlign val="subscript"/>
        <sz val="10"/>
        <rFont val="Arial Tur"/>
        <family val="0"/>
      </rPr>
      <t>t</t>
    </r>
    <r>
      <rPr>
        <sz val="10"/>
        <rFont val="Arial Tur"/>
        <family val="0"/>
      </rPr>
      <t>)</t>
    </r>
  </si>
  <si>
    <t>YUVARLANMA DAİRESİ ÇAPI (Dy)</t>
  </si>
  <si>
    <r>
      <t>KAVRAMA AÇISI (α</t>
    </r>
    <r>
      <rPr>
        <vertAlign val="subscript"/>
        <sz val="10"/>
        <rFont val="Arial"/>
        <family val="2"/>
      </rPr>
      <t xml:space="preserve">n </t>
    </r>
    <r>
      <rPr>
        <sz val="10"/>
        <rFont val="Arial"/>
        <family val="2"/>
      </rPr>
      <t>)</t>
    </r>
  </si>
  <si>
    <r>
      <t>tan(α</t>
    </r>
    <r>
      <rPr>
        <vertAlign val="subscript"/>
        <sz val="10"/>
        <rFont val="Arial"/>
        <family val="2"/>
      </rPr>
      <t>n</t>
    </r>
    <r>
      <rPr>
        <sz val="10"/>
        <rFont val="Arial"/>
        <family val="0"/>
      </rPr>
      <t>)</t>
    </r>
  </si>
  <si>
    <r>
      <t>inv</t>
    </r>
    <r>
      <rPr>
        <sz val="10"/>
        <rFont val="Arial"/>
        <family val="0"/>
      </rPr>
      <t>α</t>
    </r>
    <r>
      <rPr>
        <vertAlign val="subscript"/>
        <sz val="10"/>
        <rFont val="Arial"/>
        <family val="2"/>
      </rPr>
      <t>n</t>
    </r>
  </si>
  <si>
    <r>
      <t>inv</t>
    </r>
    <r>
      <rPr>
        <sz val="10"/>
        <rFont val="Arial"/>
        <family val="0"/>
      </rPr>
      <t>α</t>
    </r>
    <r>
      <rPr>
        <vertAlign val="subscript"/>
        <sz val="10"/>
        <rFont val="Arial"/>
        <family val="2"/>
      </rPr>
      <t>wt</t>
    </r>
  </si>
  <si>
    <r>
      <t>involute radyal basınç açısı</t>
    </r>
    <r>
      <rPr>
        <b/>
        <sz val="10"/>
        <rFont val="Arial Tur"/>
        <family val="0"/>
      </rPr>
      <t xml:space="preserve"> inv</t>
    </r>
    <r>
      <rPr>
        <b/>
        <sz val="10"/>
        <rFont val="Arial"/>
        <family val="0"/>
      </rPr>
      <t>α</t>
    </r>
    <r>
      <rPr>
        <b/>
        <vertAlign val="subscript"/>
        <sz val="10"/>
        <rFont val="Arial"/>
        <family val="2"/>
      </rPr>
      <t>t</t>
    </r>
  </si>
  <si>
    <t>Radyan birimler</t>
  </si>
  <si>
    <t>RADYAL workıng BASINÇ AÇISI</t>
  </si>
  <si>
    <t>COS((αwt)</t>
  </si>
  <si>
    <t>TEK HELİS DİŞLİ</t>
  </si>
  <si>
    <r>
      <t>RADYAL PRESSURE ANGLE (</t>
    </r>
    <r>
      <rPr>
        <sz val="10"/>
        <rFont val="Arial"/>
        <family val="0"/>
      </rPr>
      <t>α</t>
    </r>
    <r>
      <rPr>
        <vertAlign val="subscript"/>
        <sz val="10"/>
        <rFont val="Arial"/>
        <family val="2"/>
      </rPr>
      <t>t</t>
    </r>
    <r>
      <rPr>
        <sz val="10"/>
        <rFont val="Arial"/>
        <family val="0"/>
      </rPr>
      <t>)</t>
    </r>
  </si>
  <si>
    <t xml:space="preserve">
AÇIKLAMA
Bu Tablo sadece birlikte çalışacak Helis dişlilerin hesabı için kullanılır.
Dişlide ölçülecek temel değerler, diş sayıları, dış çapları ve iki dişlinin çalıştığı yerden alınacak eksenler arası mesafe ve helis açısıdır.
Helis açılarından birisi SAĞ yöne ise diğeri SOL olmalıdır.
Eğer ikinci dişliye ait değerler yoksa bu bilgiler ünitesinden alınmalıdır.
Eğer bu bilgilere ulaşılamıyorsa tek helis dişli tablosu kullanılmalıdır.</t>
  </si>
  <si>
    <t>TEK DÜZ DİŞLİ</t>
  </si>
  <si>
    <t xml:space="preserve">AÇIKLAMA
Eğer sadece bir dişli elde varsa ve karşılıklı çalışan dişlinin bilgileri yoksa ve Eğer ölçülen dişli dış çapı hesaplanan tashihsiz dış çaptan farklı ise profil kaydırma faktörünü (tashih) bulmak için bu tablolar kullanılır.
Dişlide tashih varsa tek dişliden alınan ölçüler ile yapılan hesaplamalar hassas olmayabilir. Bu nedenle karşılıklı çalışan dişli ve eksenler arası ölçünün alınması daha sağlıklı hesap için gerekmektedir.
Dişliden ölçülecek temel değerler, diş sayısı, dış çap (Do), diş dibi çapıdır (Di) 
Eğer diş sayısı çift ise TABLO 1  direkt kullanılır.
Diş sayısı tek ise önce TABLO 2 kullanılarak Dış çap (Do) ve Diş dibi çapı (Di) hesaplanarak TABLO 1 de kullanılır.
Eldeki dişlinin Modülü bilinmiyorsa önce TALO 3 ile Modül belirlenerek TABLO 1 ve 2 de kullanılır
Bir diğer alınacak önemli ölçü ise kirişsel ölçü W dir. Bu ölçü helis açısına dik yönde alınmalıdır.
Kirişsel ölçü için önce kaç dişin dıştan dışa ölçüleceği tablodan bulunmalı ve o sayıdaki ölçü değer olarak girilmelidir.
</t>
  </si>
  <si>
    <t>ÇİFT DÜZ DİŞLİ HESAP TABLOSU</t>
  </si>
  <si>
    <t xml:space="preserve">   HESAPLANMIŞ  DEĞERLER</t>
  </si>
  <si>
    <t xml:space="preserve">
AÇIKLAMA
Bu Tablo sadece birlikte çalışacak Düz dişlilerin hesabı için kullanılır.
Dişlide ölçülecek temel değerler, diş sayıları, dış çapları ve iki dişlinin çalıştığı yerden alınacak eksenler arası mesafedir.
Eğer ikinci dişliye ait değerler yoksa bu bilgiler ünitesinden alınmalıdır.
Eğer bu bilgilere ulaşılamıyorsa tek düz dişli tablosu kullanılmalıdır.
</t>
  </si>
  <si>
    <t>ÇİFT HELİS DİŞLİ HESAP TABLOSU</t>
  </si>
  <si>
    <t>Helis Açısı (β)</t>
  </si>
  <si>
    <t>Eğer Modül bilinmiyorsa
Büyük olan dişlinin dış çapı ve diş sayısı aşağıdaki tabloya girilerek  çıkan yaklaşık modüle en yakın standart modül tablodan seçilmeli ve soldaki tabloda modül değeri olarak girilmelidir. Girilen değerlerin büyük dişli değerleri olması daha doğru sonuç verir.</t>
  </si>
  <si>
    <t>Eğer Modül bilinmiyorsa büyük olan dişlinin dış çapı ve diş sayısı aşağıdaki tabloya girilerek  çıkan yaklaşık modüle en yakın standart modül tablodan seçilmeli ve soldaki tabloda modül değeri olarak girilmelidir. Girilen değerlerin büyük dişli değerleri olması daha doğru sonuç verir.</t>
  </si>
  <si>
    <t>Helis açısı (β)</t>
  </si>
  <si>
    <t>Yuvarlanma Daire çapı Dw</t>
  </si>
  <si>
    <t>COS(β)</t>
  </si>
  <si>
    <t xml:space="preserve">
AÇIKLAMA
Eğer sadece bir dişli elde varsa ve karşılıklı çalışan dişlinin bilgileri yoksa ve Eğer ölçülen dişli dış çapı hesaplanan tashihsiz dış çaptan farklı ise profil kaydırma faktörünü (tashih) bulmak için bu tablolar kullanılır.
Dişlide tashih varsa tek dişliden alınan ölçüler ile yapılan hesaplamalar hassas olmayabilir. Bu nedenle karşılıklı çalışan dişli ve eksenler arası ölçünün alınması daha sağlıklı hesap için gerekmektedir.
Dişliden ölçülecek temel değerler, diş sayısı, dış çap (Do), diş dibi çapı (Di) ve helis açısıdır (β)
Eğer diş sayısı çift ise TABLO 1  direkt kullanılır.
Diş sayısı tek ise önce TABLO 2 kullanılarak Dış çap (Do) ve Diş dibi çapı (Di) hesaplanarak TABLO 1 de kullanılır.
Eldeki dişlinin Modülü bilinmiyorsa önce TABLO 3 ile Modül belirlenerek TABLO 1 ve 2 de kullanılır
Bir diğer alınacak önemli ölçü ise kirişsel ölçü W dir. Bu ölçü helis açısına dik yönde alınmalıdır.
Kirişsel ölçü için önce kaç dişin dıştan dışa ölçüleceği tablodan hesap edilmeli ve o sayıdaki ölçü değer olarak girilmelidir.
</t>
  </si>
  <si>
    <t>Yuvarlanma Dairesi çapı Dw1</t>
  </si>
  <si>
    <t>Yuvarlanma Dairesi çapı Dw2</t>
  </si>
  <si>
    <t>www.muhendislikbilgileri.com</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</si>
</sst>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
    <numFmt numFmtId="165" formatCode="0.00000"/>
    <numFmt numFmtId="166" formatCode="0.000"/>
    <numFmt numFmtId="167" formatCode="0.0"/>
  </numFmts>
  <fonts count="14">
    <font>
      <sz val="10"/>
      <name val="Arial Tur"/>
      <family val="0"/>
    </font>
    <font>
      <sz val="8"/>
      <name val="Arial Tur"/>
      <family val="0"/>
    </font>
    <font>
      <vertAlign val="subscript"/>
      <sz val="10"/>
      <name val="Arial Tur"/>
      <family val="0"/>
    </font>
    <font>
      <sz val="10"/>
      <name val="Arial"/>
      <family val="0"/>
    </font>
    <font>
      <b/>
      <sz val="10"/>
      <name val="Arial Tur"/>
      <family val="0"/>
    </font>
    <font>
      <b/>
      <sz val="10"/>
      <name val="Arial"/>
      <family val="0"/>
    </font>
    <font>
      <b/>
      <vertAlign val="subscript"/>
      <sz val="10"/>
      <name val="Arial Tur"/>
      <family val="0"/>
    </font>
    <font>
      <sz val="12"/>
      <name val="Arial Tur"/>
      <family val="0"/>
    </font>
    <font>
      <vertAlign val="subscript"/>
      <sz val="10"/>
      <name val="Arial"/>
      <family val="2"/>
    </font>
    <font>
      <b/>
      <vertAlign val="subscript"/>
      <sz val="10"/>
      <name val="Arial"/>
      <family val="2"/>
    </font>
    <font>
      <b/>
      <sz val="10"/>
      <color indexed="8"/>
      <name val="Arial Tur"/>
      <family val="0"/>
    </font>
    <font>
      <u val="single"/>
      <sz val="10"/>
      <color indexed="12"/>
      <name val="Arial Tur"/>
      <family val="0"/>
    </font>
    <font>
      <u val="single"/>
      <sz val="10"/>
      <color indexed="36"/>
      <name val="Arial Tur"/>
      <family val="0"/>
    </font>
    <font>
      <sz val="12"/>
      <color indexed="12"/>
      <name val="Arial Tur"/>
      <family val="0"/>
    </font>
  </fonts>
  <fills count="12">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9"/>
        <bgColor indexed="64"/>
      </patternFill>
    </fill>
  </fills>
  <borders count="51">
    <border>
      <left/>
      <right/>
      <top/>
      <bottom/>
      <diagonal/>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medium"/>
      <right style="medium"/>
      <top style="medium"/>
      <bottom style="medium"/>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style="thin"/>
    </border>
    <border>
      <left style="thin"/>
      <right style="thin"/>
      <top style="medium"/>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style="thin"/>
      <top style="thin"/>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1">
    <xf numFmtId="0" fontId="0" fillId="0" borderId="0" xfId="0" applyAlignment="1">
      <alignment/>
    </xf>
    <xf numFmtId="1" fontId="0" fillId="2" borderId="1" xfId="0" applyNumberFormat="1" applyFill="1" applyBorder="1" applyAlignment="1" applyProtection="1">
      <alignment horizontal="left" vertical="center" indent="1"/>
      <protection locked="0"/>
    </xf>
    <xf numFmtId="2" fontId="0" fillId="2" borderId="1" xfId="0" applyNumberFormat="1" applyFill="1" applyBorder="1" applyAlignment="1" applyProtection="1">
      <alignment horizontal="left" vertical="center" indent="1"/>
      <protection locked="0"/>
    </xf>
    <xf numFmtId="0" fontId="0" fillId="0" borderId="0" xfId="0" applyAlignment="1" applyProtection="1">
      <alignment horizontal="left" vertical="center" indent="1"/>
      <protection/>
    </xf>
    <xf numFmtId="2" fontId="0" fillId="0" borderId="0" xfId="0" applyNumberFormat="1" applyAlignment="1" applyProtection="1">
      <alignment horizontal="right" indent="1"/>
      <protection/>
    </xf>
    <xf numFmtId="0" fontId="0" fillId="0" borderId="0" xfId="0" applyAlignment="1" applyProtection="1">
      <alignment/>
      <protection/>
    </xf>
    <xf numFmtId="2" fontId="0" fillId="0" borderId="0" xfId="0" applyNumberFormat="1" applyAlignment="1" applyProtection="1">
      <alignment horizontal="right" vertical="center" indent="1"/>
      <protection/>
    </xf>
    <xf numFmtId="2" fontId="0" fillId="0" borderId="0" xfId="0" applyNumberFormat="1" applyAlignment="1" applyProtection="1">
      <alignment/>
      <protection/>
    </xf>
    <xf numFmtId="0" fontId="3" fillId="0" borderId="0" xfId="0" applyFont="1" applyAlignment="1" applyProtection="1">
      <alignment horizontal="left" vertical="center" indent="1"/>
      <protection/>
    </xf>
    <xf numFmtId="165" fontId="0" fillId="0" borderId="0" xfId="0" applyNumberFormat="1" applyAlignment="1" applyProtection="1">
      <alignment horizontal="right" vertical="center" indent="1"/>
      <protection/>
    </xf>
    <xf numFmtId="165" fontId="0" fillId="0" borderId="0" xfId="0" applyNumberFormat="1" applyAlignment="1" applyProtection="1">
      <alignment/>
      <protection/>
    </xf>
    <xf numFmtId="165" fontId="0" fillId="0" borderId="0" xfId="0" applyNumberFormat="1" applyAlignment="1" applyProtection="1">
      <alignment horizontal="right" indent="1"/>
      <protection/>
    </xf>
    <xf numFmtId="164" fontId="0" fillId="0" borderId="0" xfId="0" applyNumberFormat="1" applyAlignment="1" applyProtection="1">
      <alignment horizontal="right" indent="1"/>
      <protection/>
    </xf>
    <xf numFmtId="164" fontId="0" fillId="0" borderId="0" xfId="0" applyNumberFormat="1" applyAlignment="1" applyProtection="1">
      <alignment horizontal="right" vertical="center" indent="1"/>
      <protection/>
    </xf>
    <xf numFmtId="164" fontId="0" fillId="0" borderId="0" xfId="0" applyNumberFormat="1" applyAlignment="1" applyProtection="1">
      <alignment/>
      <protection/>
    </xf>
    <xf numFmtId="166" fontId="0" fillId="0" borderId="0" xfId="0" applyNumberFormat="1" applyAlignment="1" applyProtection="1">
      <alignment horizontal="right" vertical="center" indent="1"/>
      <protection/>
    </xf>
    <xf numFmtId="167" fontId="0" fillId="0" borderId="0" xfId="0" applyNumberFormat="1" applyAlignment="1" applyProtection="1">
      <alignment/>
      <protection/>
    </xf>
    <xf numFmtId="166" fontId="0" fillId="0" borderId="0" xfId="0" applyNumberFormat="1" applyAlignment="1" applyProtection="1">
      <alignment/>
      <protection/>
    </xf>
    <xf numFmtId="0" fontId="0" fillId="0" borderId="2" xfId="0" applyBorder="1" applyAlignment="1" applyProtection="1">
      <alignment horizontal="left" vertical="center" indent="1"/>
      <protection/>
    </xf>
    <xf numFmtId="2" fontId="0" fillId="3" borderId="3" xfId="0" applyNumberFormat="1" applyFill="1" applyBorder="1" applyAlignment="1" applyProtection="1">
      <alignment horizontal="right" vertical="center" indent="1"/>
      <protection/>
    </xf>
    <xf numFmtId="2" fontId="0" fillId="4" borderId="4" xfId="0" applyNumberFormat="1" applyFill="1" applyBorder="1" applyAlignment="1" applyProtection="1">
      <alignment horizontal="right" vertical="center" indent="1"/>
      <protection/>
    </xf>
    <xf numFmtId="2" fontId="0" fillId="5" borderId="5" xfId="0" applyNumberFormat="1" applyFill="1" applyBorder="1" applyAlignment="1" applyProtection="1">
      <alignment horizontal="left" vertical="center" indent="1"/>
      <protection/>
    </xf>
    <xf numFmtId="2" fontId="7" fillId="0" borderId="6" xfId="0" applyNumberFormat="1" applyFont="1" applyBorder="1" applyAlignment="1" applyProtection="1">
      <alignment horizontal="center" vertical="center"/>
      <protection/>
    </xf>
    <xf numFmtId="2" fontId="7" fillId="0" borderId="7" xfId="0" applyNumberFormat="1" applyFont="1" applyBorder="1" applyAlignment="1" applyProtection="1">
      <alignment horizontal="center" vertical="center"/>
      <protection/>
    </xf>
    <xf numFmtId="2" fontId="7" fillId="2" borderId="8" xfId="0" applyNumberFormat="1" applyFont="1" applyFill="1" applyBorder="1" applyAlignment="1" applyProtection="1">
      <alignment horizontal="center" vertical="center"/>
      <protection/>
    </xf>
    <xf numFmtId="2" fontId="7" fillId="0" borderId="8" xfId="0" applyNumberFormat="1" applyFont="1" applyBorder="1" applyAlignment="1" applyProtection="1">
      <alignment horizontal="center" vertical="center"/>
      <protection/>
    </xf>
    <xf numFmtId="2" fontId="7" fillId="2" borderId="9" xfId="0" applyNumberFormat="1" applyFont="1" applyFill="1" applyBorder="1" applyAlignment="1" applyProtection="1">
      <alignment horizontal="center" vertical="center"/>
      <protection/>
    </xf>
    <xf numFmtId="2" fontId="7" fillId="0" borderId="9" xfId="0" applyNumberFormat="1" applyFont="1" applyBorder="1" applyAlignment="1" applyProtection="1">
      <alignment horizontal="center" vertical="center"/>
      <protection/>
    </xf>
    <xf numFmtId="0" fontId="0" fillId="0" borderId="0" xfId="0" applyBorder="1" applyAlignment="1" applyProtection="1">
      <alignment/>
      <protection/>
    </xf>
    <xf numFmtId="0" fontId="4" fillId="0" borderId="0" xfId="0" applyFont="1" applyFill="1" applyBorder="1" applyAlignment="1" applyProtection="1">
      <alignment horizontal="left" vertical="center" indent="1"/>
      <protection/>
    </xf>
    <xf numFmtId="2" fontId="0" fillId="0" borderId="0" xfId="0" applyNumberFormat="1" applyBorder="1" applyAlignment="1" applyProtection="1">
      <alignment horizontal="right" vertical="center" indent="2"/>
      <protection/>
    </xf>
    <xf numFmtId="0" fontId="0" fillId="0" borderId="0" xfId="0" applyBorder="1" applyAlignment="1" applyProtection="1">
      <alignment horizontal="left" vertical="center" indent="1"/>
      <protection/>
    </xf>
    <xf numFmtId="2" fontId="7" fillId="0" borderId="9" xfId="0" applyNumberFormat="1" applyFont="1" applyFill="1" applyBorder="1" applyAlignment="1" applyProtection="1">
      <alignment horizontal="center" vertical="center"/>
      <protection/>
    </xf>
    <xf numFmtId="2" fontId="7" fillId="2" borderId="10" xfId="0" applyNumberFormat="1" applyFont="1" applyFill="1" applyBorder="1" applyAlignment="1" applyProtection="1">
      <alignment horizontal="center" vertical="center"/>
      <protection/>
    </xf>
    <xf numFmtId="2" fontId="7" fillId="0" borderId="10" xfId="0" applyNumberFormat="1" applyFont="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center" indent="1"/>
      <protection/>
    </xf>
    <xf numFmtId="2" fontId="0" fillId="0" borderId="0" xfId="0" applyNumberFormat="1" applyFill="1" applyBorder="1" applyAlignment="1" applyProtection="1">
      <alignment horizontal="right" indent="1"/>
      <protection/>
    </xf>
    <xf numFmtId="0" fontId="0" fillId="0" borderId="0" xfId="0" applyFill="1" applyBorder="1" applyAlignment="1" applyProtection="1">
      <alignment/>
      <protection/>
    </xf>
    <xf numFmtId="2" fontId="0" fillId="0" borderId="0" xfId="0" applyNumberFormat="1" applyAlignment="1" applyProtection="1">
      <alignment horizontal="left" vertical="center" indent="1"/>
      <protection/>
    </xf>
    <xf numFmtId="167" fontId="0" fillId="5" borderId="1" xfId="0" applyNumberFormat="1" applyFill="1" applyBorder="1" applyAlignment="1" applyProtection="1">
      <alignment horizontal="right" vertical="center" indent="1"/>
      <protection/>
    </xf>
    <xf numFmtId="0" fontId="4" fillId="0" borderId="0" xfId="0" applyFont="1" applyFill="1" applyBorder="1" applyAlignment="1" applyProtection="1">
      <alignment vertical="center" wrapText="1"/>
      <protection/>
    </xf>
    <xf numFmtId="167" fontId="0" fillId="5" borderId="5" xfId="0" applyNumberFormat="1" applyFill="1" applyBorder="1" applyAlignment="1" applyProtection="1">
      <alignment horizontal="right" vertical="center" indent="1"/>
      <protection/>
    </xf>
    <xf numFmtId="167" fontId="0" fillId="2" borderId="11" xfId="0" applyNumberFormat="1" applyFill="1" applyBorder="1" applyAlignment="1" applyProtection="1">
      <alignment horizontal="right" vertical="center" indent="1"/>
      <protection locked="0"/>
    </xf>
    <xf numFmtId="167" fontId="0" fillId="2" borderId="1" xfId="0" applyNumberFormat="1" applyFill="1" applyBorder="1" applyAlignment="1" applyProtection="1">
      <alignment horizontal="right" vertical="center" indent="1"/>
      <protection locked="0"/>
    </xf>
    <xf numFmtId="0" fontId="4" fillId="6" borderId="12" xfId="0" applyFont="1" applyFill="1" applyBorder="1" applyAlignment="1" applyProtection="1">
      <alignment horizontal="center" vertical="center"/>
      <protection/>
    </xf>
    <xf numFmtId="0" fontId="0" fillId="0" borderId="0" xfId="0" applyAlignment="1" applyProtection="1">
      <alignment horizontal="left" vertical="center"/>
      <protection/>
    </xf>
    <xf numFmtId="2" fontId="0" fillId="0" borderId="0" xfId="0" applyNumberFormat="1" applyAlignment="1" applyProtection="1">
      <alignment horizontal="right"/>
      <protection/>
    </xf>
    <xf numFmtId="0" fontId="0" fillId="0" borderId="0" xfId="0" applyAlignment="1" applyProtection="1">
      <alignment/>
      <protection/>
    </xf>
    <xf numFmtId="2" fontId="0" fillId="0" borderId="0" xfId="0" applyNumberFormat="1" applyAlignment="1" applyProtection="1">
      <alignment horizontal="right" vertical="center"/>
      <protection/>
    </xf>
    <xf numFmtId="2" fontId="0" fillId="0" borderId="0" xfId="0" applyNumberFormat="1" applyAlignment="1" applyProtection="1">
      <alignment/>
      <protection/>
    </xf>
    <xf numFmtId="0" fontId="3" fillId="0" borderId="0" xfId="0" applyFont="1" applyAlignment="1" applyProtection="1">
      <alignment horizontal="left" vertical="center"/>
      <protection/>
    </xf>
    <xf numFmtId="164" fontId="0" fillId="0" borderId="0" xfId="0" applyNumberFormat="1" applyAlignment="1" applyProtection="1">
      <alignment horizontal="right"/>
      <protection/>
    </xf>
    <xf numFmtId="164" fontId="0" fillId="0" borderId="0" xfId="0" applyNumberFormat="1" applyAlignment="1" applyProtection="1">
      <alignment/>
      <protection/>
    </xf>
    <xf numFmtId="2" fontId="0" fillId="0" borderId="0" xfId="0" applyNumberFormat="1" applyAlignment="1" applyProtection="1">
      <alignment horizontal="left" vertical="center"/>
      <protection/>
    </xf>
    <xf numFmtId="0" fontId="10" fillId="6" borderId="12" xfId="0" applyFont="1" applyFill="1" applyBorder="1" applyAlignment="1" applyProtection="1">
      <alignment horizontal="center" vertical="center"/>
      <protection/>
    </xf>
    <xf numFmtId="0" fontId="0" fillId="0" borderId="2" xfId="0" applyBorder="1" applyAlignment="1" applyProtection="1">
      <alignment horizontal="left" vertical="center"/>
      <protection/>
    </xf>
    <xf numFmtId="2" fontId="0" fillId="2" borderId="2" xfId="0" applyNumberFormat="1" applyFill="1" applyBorder="1" applyAlignment="1" applyProtection="1">
      <alignment horizontal="left" vertical="center"/>
      <protection/>
    </xf>
    <xf numFmtId="2" fontId="0" fillId="2" borderId="3" xfId="0" applyNumberFormat="1" applyFill="1" applyBorder="1" applyAlignment="1" applyProtection="1">
      <alignment horizontal="left" vertical="center"/>
      <protection/>
    </xf>
    <xf numFmtId="2" fontId="0" fillId="5" borderId="3" xfId="0" applyNumberFormat="1" applyFill="1" applyBorder="1" applyAlignment="1" applyProtection="1">
      <alignment horizontal="left" vertical="center"/>
      <protection/>
    </xf>
    <xf numFmtId="2" fontId="0" fillId="5" borderId="4" xfId="0" applyNumberFormat="1" applyFill="1" applyBorder="1" applyAlignment="1" applyProtection="1">
      <alignment horizontal="left" vertical="center"/>
      <protection/>
    </xf>
    <xf numFmtId="0" fontId="0" fillId="0" borderId="0" xfId="0" applyBorder="1" applyAlignment="1" applyProtection="1">
      <alignment/>
      <protection/>
    </xf>
    <xf numFmtId="0" fontId="4" fillId="0" borderId="0" xfId="0" applyFont="1" applyFill="1" applyBorder="1" applyAlignment="1" applyProtection="1">
      <alignment horizontal="left" vertical="center"/>
      <protection/>
    </xf>
    <xf numFmtId="2" fontId="0" fillId="0" borderId="0" xfId="0" applyNumberFormat="1" applyBorder="1" applyAlignment="1" applyProtection="1">
      <alignment horizontal="right" vertical="center"/>
      <protection/>
    </xf>
    <xf numFmtId="2" fontId="0" fillId="3" borderId="3" xfId="0" applyNumberFormat="1" applyFill="1" applyBorder="1" applyAlignment="1" applyProtection="1">
      <alignment horizontal="left" vertical="center" indent="2"/>
      <protection/>
    </xf>
    <xf numFmtId="0" fontId="0" fillId="3" borderId="13" xfId="0" applyFill="1" applyBorder="1" applyAlignment="1" applyProtection="1">
      <alignment horizontal="left" indent="2"/>
      <protection/>
    </xf>
    <xf numFmtId="2" fontId="0" fillId="4" borderId="4" xfId="0" applyNumberFormat="1" applyFill="1" applyBorder="1" applyAlignment="1" applyProtection="1">
      <alignment horizontal="left" vertical="center" indent="2"/>
      <protection/>
    </xf>
    <xf numFmtId="0" fontId="0" fillId="2" borderId="14" xfId="0" applyFill="1" applyBorder="1" applyAlignment="1" applyProtection="1">
      <alignment horizontal="left" vertical="center" indent="1"/>
      <protection locked="0"/>
    </xf>
    <xf numFmtId="2" fontId="0" fillId="3" borderId="4" xfId="0" applyNumberFormat="1" applyFill="1" applyBorder="1" applyAlignment="1" applyProtection="1">
      <alignment horizontal="right" vertical="center" indent="1"/>
      <protection/>
    </xf>
    <xf numFmtId="167" fontId="0" fillId="7" borderId="1" xfId="0" applyNumberFormat="1" applyFill="1" applyBorder="1" applyAlignment="1" applyProtection="1">
      <alignment horizontal="right" vertical="center" indent="1"/>
      <protection/>
    </xf>
    <xf numFmtId="167" fontId="0" fillId="7" borderId="5" xfId="0" applyNumberFormat="1" applyFill="1" applyBorder="1" applyAlignment="1" applyProtection="1">
      <alignment horizontal="right" vertical="center" indent="1"/>
      <protection/>
    </xf>
    <xf numFmtId="2" fontId="0" fillId="7" borderId="5" xfId="0" applyNumberFormat="1" applyFill="1" applyBorder="1" applyAlignment="1" applyProtection="1">
      <alignment horizontal="left" vertical="center" indent="1"/>
      <protection/>
    </xf>
    <xf numFmtId="167" fontId="0" fillId="8" borderId="11" xfId="0" applyNumberFormat="1" applyFill="1" applyBorder="1" applyAlignment="1" applyProtection="1">
      <alignment horizontal="right" vertical="center" indent="1"/>
      <protection locked="0"/>
    </xf>
    <xf numFmtId="167" fontId="0" fillId="8" borderId="1" xfId="0" applyNumberFormat="1" applyFill="1" applyBorder="1" applyAlignment="1" applyProtection="1">
      <alignment horizontal="right" vertical="center" indent="1"/>
      <protection locked="0"/>
    </xf>
    <xf numFmtId="1" fontId="0" fillId="8" borderId="1" xfId="0" applyNumberFormat="1" applyFill="1" applyBorder="1" applyAlignment="1" applyProtection="1">
      <alignment horizontal="left" vertical="center" indent="1"/>
      <protection locked="0"/>
    </xf>
    <xf numFmtId="2" fontId="0" fillId="8" borderId="1" xfId="0" applyNumberFormat="1" applyFill="1" applyBorder="1" applyAlignment="1" applyProtection="1">
      <alignment horizontal="left" vertical="center" indent="1"/>
      <protection locked="0"/>
    </xf>
    <xf numFmtId="2" fontId="0" fillId="9" borderId="4" xfId="0" applyNumberFormat="1" applyFill="1" applyBorder="1" applyAlignment="1" applyProtection="1">
      <alignment horizontal="right" vertical="center" indent="1"/>
      <protection/>
    </xf>
    <xf numFmtId="2" fontId="0" fillId="9" borderId="3" xfId="0" applyNumberFormat="1" applyFill="1" applyBorder="1" applyAlignment="1" applyProtection="1">
      <alignment horizontal="left" vertical="center" indent="1"/>
      <protection/>
    </xf>
    <xf numFmtId="2" fontId="0" fillId="9" borderId="4" xfId="0" applyNumberFormat="1" applyFill="1" applyBorder="1" applyAlignment="1" applyProtection="1">
      <alignment horizontal="left" vertical="center" indent="1"/>
      <protection/>
    </xf>
    <xf numFmtId="2" fontId="0" fillId="10" borderId="2" xfId="0" applyNumberFormat="1" applyFill="1" applyBorder="1" applyAlignment="1" applyProtection="1">
      <alignment horizontal="left" vertical="center" indent="1"/>
      <protection/>
    </xf>
    <xf numFmtId="2" fontId="0" fillId="10" borderId="3" xfId="0" applyNumberFormat="1" applyFill="1" applyBorder="1" applyAlignment="1" applyProtection="1">
      <alignment horizontal="left" vertical="center" indent="1"/>
      <protection/>
    </xf>
    <xf numFmtId="2" fontId="0" fillId="10" borderId="3" xfId="0" applyNumberFormat="1" applyFill="1" applyBorder="1" applyAlignment="1" applyProtection="1">
      <alignment horizontal="right" vertical="center" indent="1"/>
      <protection/>
    </xf>
    <xf numFmtId="0" fontId="4" fillId="0" borderId="3" xfId="0" applyFont="1" applyFill="1" applyBorder="1" applyAlignment="1" applyProtection="1">
      <alignment horizontal="left" vertical="center" indent="1"/>
      <protection/>
    </xf>
    <xf numFmtId="0" fontId="4" fillId="0" borderId="15" xfId="0" applyFont="1" applyFill="1" applyBorder="1" applyAlignment="1" applyProtection="1">
      <alignment horizontal="left" vertical="center" indent="1"/>
      <protection/>
    </xf>
    <xf numFmtId="2" fontId="4" fillId="0" borderId="16"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2" fontId="0" fillId="2" borderId="5" xfId="0" applyNumberFormat="1" applyFill="1" applyBorder="1" applyAlignment="1" applyProtection="1">
      <alignment horizontal="left" vertical="center" indent="1"/>
      <protection locked="0"/>
    </xf>
    <xf numFmtId="0" fontId="0" fillId="0" borderId="0" xfId="0" applyBorder="1" applyAlignment="1" applyProtection="1">
      <alignment textRotation="90"/>
      <protection/>
    </xf>
    <xf numFmtId="0" fontId="0" fillId="0" borderId="2" xfId="0" applyFill="1" applyBorder="1" applyAlignment="1" applyProtection="1">
      <alignment horizontal="left" vertical="center" indent="1"/>
      <protection/>
    </xf>
    <xf numFmtId="0" fontId="0" fillId="0" borderId="17" xfId="0" applyBorder="1" applyAlignment="1" applyProtection="1">
      <alignment vertical="center" textRotation="90"/>
      <protection/>
    </xf>
    <xf numFmtId="2" fontId="0" fillId="4" borderId="18" xfId="0" applyNumberFormat="1" applyFill="1" applyBorder="1" applyAlignment="1" applyProtection="1">
      <alignment horizontal="left" vertical="center" wrapText="1" indent="1"/>
      <protection/>
    </xf>
    <xf numFmtId="2" fontId="0" fillId="4" borderId="19" xfId="0" applyNumberFormat="1" applyFill="1" applyBorder="1" applyAlignment="1" applyProtection="1">
      <alignment horizontal="left" vertical="center" wrapText="1" indent="1"/>
      <protection/>
    </xf>
    <xf numFmtId="2" fontId="0" fillId="4" borderId="20" xfId="0" applyNumberFormat="1" applyFill="1" applyBorder="1" applyAlignment="1" applyProtection="1">
      <alignment horizontal="left" vertical="center" wrapText="1" indent="1"/>
      <protection/>
    </xf>
    <xf numFmtId="2" fontId="0" fillId="4" borderId="21" xfId="0" applyNumberFormat="1" applyFill="1" applyBorder="1" applyAlignment="1" applyProtection="1">
      <alignment horizontal="left" vertical="center" wrapText="1" indent="1"/>
      <protection/>
    </xf>
    <xf numFmtId="2" fontId="0" fillId="4" borderId="22" xfId="0" applyNumberFormat="1" applyFill="1" applyBorder="1" applyAlignment="1" applyProtection="1">
      <alignment horizontal="left" vertical="center" wrapText="1" indent="1"/>
      <protection/>
    </xf>
    <xf numFmtId="2" fontId="0" fillId="4" borderId="23" xfId="0" applyNumberFormat="1" applyFill="1" applyBorder="1" applyAlignment="1" applyProtection="1">
      <alignment horizontal="left" vertical="center" wrapText="1" indent="1"/>
      <protection/>
    </xf>
    <xf numFmtId="0" fontId="4" fillId="9" borderId="18" xfId="0" applyFont="1" applyFill="1" applyBorder="1" applyAlignment="1" applyProtection="1">
      <alignment horizontal="left" vertical="center" wrapText="1" indent="2"/>
      <protection/>
    </xf>
    <xf numFmtId="0" fontId="4" fillId="9" borderId="17" xfId="0" applyFont="1" applyFill="1" applyBorder="1" applyAlignment="1" applyProtection="1">
      <alignment horizontal="left" vertical="center" wrapText="1" indent="2"/>
      <protection/>
    </xf>
    <xf numFmtId="0" fontId="4" fillId="9" borderId="19" xfId="0" applyFont="1" applyFill="1" applyBorder="1" applyAlignment="1" applyProtection="1">
      <alignment horizontal="left" vertical="center" wrapText="1" indent="2"/>
      <protection/>
    </xf>
    <xf numFmtId="0" fontId="4" fillId="9" borderId="20" xfId="0" applyFont="1" applyFill="1" applyBorder="1" applyAlignment="1" applyProtection="1">
      <alignment horizontal="left" vertical="center" wrapText="1" indent="2"/>
      <protection/>
    </xf>
    <xf numFmtId="0" fontId="4" fillId="9" borderId="0" xfId="0" applyFont="1" applyFill="1" applyBorder="1" applyAlignment="1" applyProtection="1">
      <alignment horizontal="left" vertical="center" wrapText="1" indent="2"/>
      <protection/>
    </xf>
    <xf numFmtId="0" fontId="4" fillId="9" borderId="21" xfId="0" applyFont="1" applyFill="1" applyBorder="1" applyAlignment="1" applyProtection="1">
      <alignment horizontal="left" vertical="center" wrapText="1" indent="2"/>
      <protection/>
    </xf>
    <xf numFmtId="0" fontId="4" fillId="9" borderId="22" xfId="0" applyFont="1" applyFill="1" applyBorder="1" applyAlignment="1" applyProtection="1">
      <alignment horizontal="left" vertical="center" wrapText="1" indent="2"/>
      <protection/>
    </xf>
    <xf numFmtId="0" fontId="4" fillId="9" borderId="24" xfId="0" applyFont="1" applyFill="1" applyBorder="1" applyAlignment="1" applyProtection="1">
      <alignment horizontal="left" vertical="center" wrapText="1" indent="2"/>
      <protection/>
    </xf>
    <xf numFmtId="0" fontId="4" fillId="9" borderId="23" xfId="0" applyFont="1" applyFill="1" applyBorder="1" applyAlignment="1" applyProtection="1">
      <alignment horizontal="left" vertical="center" wrapText="1" indent="2"/>
      <protection/>
    </xf>
    <xf numFmtId="2" fontId="0" fillId="0" borderId="25" xfId="0" applyNumberFormat="1" applyFill="1" applyBorder="1" applyAlignment="1" applyProtection="1">
      <alignment horizontal="center" vertical="center"/>
      <protection/>
    </xf>
    <xf numFmtId="2" fontId="0" fillId="0" borderId="26" xfId="0" applyNumberFormat="1" applyFill="1" applyBorder="1" applyAlignment="1" applyProtection="1">
      <alignment horizontal="center" vertical="center"/>
      <protection/>
    </xf>
    <xf numFmtId="0" fontId="0" fillId="0" borderId="0" xfId="0" applyBorder="1" applyAlignment="1" applyProtection="1">
      <alignment horizontal="center" vertical="center"/>
      <protection/>
    </xf>
    <xf numFmtId="2" fontId="7" fillId="0" borderId="27" xfId="0" applyNumberFormat="1" applyFont="1" applyFill="1" applyBorder="1" applyAlignment="1" applyProtection="1">
      <alignment horizontal="center" vertical="center"/>
      <protection/>
    </xf>
    <xf numFmtId="2" fontId="7" fillId="0" borderId="28" xfId="0" applyNumberFormat="1" applyFont="1" applyFill="1" applyBorder="1" applyAlignment="1" applyProtection="1">
      <alignment horizontal="center" vertical="center"/>
      <protection/>
    </xf>
    <xf numFmtId="0" fontId="0" fillId="0" borderId="29" xfId="0" applyBorder="1" applyAlignment="1" applyProtection="1">
      <alignment horizontal="center" textRotation="90"/>
      <protection/>
    </xf>
    <xf numFmtId="0" fontId="0" fillId="0" borderId="30" xfId="0" applyBorder="1" applyAlignment="1" applyProtection="1">
      <alignment horizontal="center" textRotation="90"/>
      <protection/>
    </xf>
    <xf numFmtId="0" fontId="0" fillId="0" borderId="7" xfId="0" applyBorder="1" applyAlignment="1" applyProtection="1">
      <alignment horizontal="center" textRotation="90"/>
      <protection/>
    </xf>
    <xf numFmtId="2" fontId="0" fillId="0" borderId="25" xfId="0" applyNumberFormat="1" applyFill="1" applyBorder="1" applyAlignment="1" applyProtection="1">
      <alignment horizontal="center" vertical="center"/>
      <protection locked="0"/>
    </xf>
    <xf numFmtId="2" fontId="0" fillId="0" borderId="26" xfId="0" applyNumberFormat="1" applyFill="1" applyBorder="1" applyAlignment="1" applyProtection="1">
      <alignment horizontal="center" vertical="center"/>
      <protection locked="0"/>
    </xf>
    <xf numFmtId="2" fontId="0" fillId="7" borderId="31" xfId="0" applyNumberFormat="1" applyFill="1" applyBorder="1" applyAlignment="1" applyProtection="1">
      <alignment horizontal="center" vertical="center" wrapText="1"/>
      <protection/>
    </xf>
    <xf numFmtId="2" fontId="0" fillId="7" borderId="32" xfId="0" applyNumberFormat="1" applyFill="1" applyBorder="1" applyAlignment="1" applyProtection="1">
      <alignment horizontal="center" vertical="center" wrapText="1"/>
      <protection/>
    </xf>
    <xf numFmtId="2" fontId="0" fillId="7" borderId="13" xfId="0" applyNumberFormat="1" applyFill="1" applyBorder="1" applyAlignment="1" applyProtection="1">
      <alignment horizontal="center" vertical="center" wrapText="1"/>
      <protection/>
    </xf>
    <xf numFmtId="2" fontId="0" fillId="7" borderId="14" xfId="0" applyNumberFormat="1" applyFill="1" applyBorder="1" applyAlignment="1" applyProtection="1">
      <alignment horizontal="center" vertical="center" wrapText="1"/>
      <protection/>
    </xf>
    <xf numFmtId="2" fontId="0" fillId="7" borderId="33" xfId="0" applyNumberFormat="1" applyFill="1" applyBorder="1" applyAlignment="1" applyProtection="1">
      <alignment horizontal="center" vertical="center" wrapText="1"/>
      <protection/>
    </xf>
    <xf numFmtId="2" fontId="0" fillId="7" borderId="34" xfId="0" applyNumberFormat="1" applyFill="1" applyBorder="1" applyAlignment="1" applyProtection="1">
      <alignment horizontal="center" vertical="center" wrapText="1"/>
      <protection/>
    </xf>
    <xf numFmtId="2" fontId="0" fillId="9" borderId="18" xfId="0" applyNumberFormat="1" applyFill="1" applyBorder="1" applyAlignment="1" applyProtection="1">
      <alignment horizontal="left" vertical="center" wrapText="1"/>
      <protection/>
    </xf>
    <xf numFmtId="2" fontId="0" fillId="9" borderId="19" xfId="0" applyNumberFormat="1" applyFill="1" applyBorder="1" applyAlignment="1" applyProtection="1">
      <alignment horizontal="left" vertical="center" wrapText="1"/>
      <protection/>
    </xf>
    <xf numFmtId="2" fontId="0" fillId="9" borderId="20" xfId="0" applyNumberFormat="1" applyFill="1" applyBorder="1" applyAlignment="1" applyProtection="1">
      <alignment horizontal="left" vertical="center" wrapText="1"/>
      <protection/>
    </xf>
    <xf numFmtId="2" fontId="0" fillId="9" borderId="21" xfId="0" applyNumberFormat="1" applyFill="1" applyBorder="1" applyAlignment="1" applyProtection="1">
      <alignment horizontal="left" vertical="center" wrapText="1"/>
      <protection/>
    </xf>
    <xf numFmtId="2" fontId="0" fillId="9" borderId="22" xfId="0" applyNumberFormat="1" applyFill="1" applyBorder="1" applyAlignment="1" applyProtection="1">
      <alignment horizontal="left" vertical="center" wrapText="1"/>
      <protection/>
    </xf>
    <xf numFmtId="2" fontId="0" fillId="9" borderId="23" xfId="0" applyNumberFormat="1" applyFill="1" applyBorder="1" applyAlignment="1" applyProtection="1">
      <alignment horizontal="left" vertical="center" wrapText="1"/>
      <protection/>
    </xf>
    <xf numFmtId="0" fontId="4" fillId="0" borderId="27"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2" fontId="4" fillId="0" borderId="36" xfId="0" applyNumberFormat="1" applyFont="1" applyFill="1" applyBorder="1" applyAlignment="1" applyProtection="1">
      <alignment horizontal="center" vertical="center"/>
      <protection/>
    </xf>
    <xf numFmtId="2" fontId="4" fillId="0" borderId="37" xfId="0" applyNumberFormat="1" applyFont="1" applyFill="1" applyBorder="1" applyAlignment="1" applyProtection="1">
      <alignment horizontal="center" vertical="center"/>
      <protection/>
    </xf>
    <xf numFmtId="2" fontId="0" fillId="0" borderId="18" xfId="0" applyNumberFormat="1" applyBorder="1" applyAlignment="1" applyProtection="1">
      <alignment horizontal="center" vertical="center"/>
      <protection/>
    </xf>
    <xf numFmtId="2" fontId="0" fillId="0" borderId="19" xfId="0" applyNumberFormat="1" applyBorder="1" applyAlignment="1" applyProtection="1">
      <alignment horizontal="center" vertical="center"/>
      <protection/>
    </xf>
    <xf numFmtId="2" fontId="0" fillId="0" borderId="20" xfId="0" applyNumberFormat="1" applyBorder="1" applyAlignment="1" applyProtection="1">
      <alignment horizontal="center" vertical="center"/>
      <protection/>
    </xf>
    <xf numFmtId="2" fontId="0" fillId="0" borderId="21" xfId="0" applyNumberFormat="1" applyBorder="1" applyAlignment="1" applyProtection="1">
      <alignment horizontal="center" vertical="center"/>
      <protection/>
    </xf>
    <xf numFmtId="2" fontId="0" fillId="0" borderId="22" xfId="0" applyNumberFormat="1" applyBorder="1" applyAlignment="1" applyProtection="1">
      <alignment horizontal="center" vertical="center"/>
      <protection/>
    </xf>
    <xf numFmtId="2" fontId="0" fillId="0" borderId="23" xfId="0" applyNumberFormat="1" applyBorder="1" applyAlignment="1" applyProtection="1">
      <alignment horizontal="center" vertical="center"/>
      <protection/>
    </xf>
    <xf numFmtId="0" fontId="0" fillId="9" borderId="18" xfId="0" applyFill="1" applyBorder="1" applyAlignment="1" applyProtection="1">
      <alignment horizontal="left" vertical="center" wrapText="1" indent="1"/>
      <protection/>
    </xf>
    <xf numFmtId="0" fontId="0" fillId="9" borderId="17" xfId="0" applyFill="1" applyBorder="1" applyAlignment="1" applyProtection="1">
      <alignment horizontal="left" vertical="center" wrapText="1" indent="1"/>
      <protection/>
    </xf>
    <xf numFmtId="0" fontId="0" fillId="9" borderId="19" xfId="0" applyFill="1" applyBorder="1" applyAlignment="1" applyProtection="1">
      <alignment horizontal="left" vertical="center" wrapText="1" indent="1"/>
      <protection/>
    </xf>
    <xf numFmtId="0" fontId="0" fillId="9" borderId="20" xfId="0" applyFill="1" applyBorder="1" applyAlignment="1" applyProtection="1">
      <alignment horizontal="left" vertical="center" wrapText="1" indent="1"/>
      <protection/>
    </xf>
    <xf numFmtId="0" fontId="0" fillId="9" borderId="0" xfId="0" applyFill="1" applyBorder="1" applyAlignment="1" applyProtection="1">
      <alignment horizontal="left" vertical="center" wrapText="1" indent="1"/>
      <protection/>
    </xf>
    <xf numFmtId="0" fontId="0" fillId="9" borderId="21" xfId="0" applyFill="1" applyBorder="1" applyAlignment="1" applyProtection="1">
      <alignment horizontal="left" vertical="center" wrapText="1" indent="1"/>
      <protection/>
    </xf>
    <xf numFmtId="0" fontId="0" fillId="9" borderId="22" xfId="0" applyFill="1" applyBorder="1" applyAlignment="1" applyProtection="1">
      <alignment horizontal="left" vertical="center" wrapText="1" indent="1"/>
      <protection/>
    </xf>
    <xf numFmtId="0" fontId="0" fillId="9" borderId="24" xfId="0" applyFill="1" applyBorder="1" applyAlignment="1" applyProtection="1">
      <alignment horizontal="left" vertical="center" wrapText="1" indent="1"/>
      <protection/>
    </xf>
    <xf numFmtId="0" fontId="0" fillId="9" borderId="23" xfId="0" applyFill="1" applyBorder="1" applyAlignment="1" applyProtection="1">
      <alignment horizontal="left" vertical="center" wrapText="1" indent="1"/>
      <protection/>
    </xf>
    <xf numFmtId="2" fontId="0" fillId="9" borderId="18" xfId="0" applyNumberFormat="1" applyFill="1" applyBorder="1" applyAlignment="1" applyProtection="1">
      <alignment horizontal="left" vertical="center" wrapText="1" indent="1"/>
      <protection/>
    </xf>
    <xf numFmtId="2" fontId="0" fillId="9" borderId="19" xfId="0" applyNumberFormat="1" applyFill="1" applyBorder="1" applyAlignment="1" applyProtection="1">
      <alignment horizontal="left" vertical="center" wrapText="1" indent="1"/>
      <protection/>
    </xf>
    <xf numFmtId="2" fontId="0" fillId="9" borderId="20" xfId="0" applyNumberFormat="1" applyFill="1" applyBorder="1" applyAlignment="1" applyProtection="1">
      <alignment horizontal="left" vertical="center" wrapText="1" indent="1"/>
      <protection/>
    </xf>
    <xf numFmtId="2" fontId="0" fillId="9" borderId="21" xfId="0" applyNumberFormat="1" applyFill="1" applyBorder="1" applyAlignment="1" applyProtection="1">
      <alignment horizontal="left" vertical="center" wrapText="1" indent="1"/>
      <protection/>
    </xf>
    <xf numFmtId="2" fontId="0" fillId="9" borderId="22" xfId="0" applyNumberFormat="1" applyFill="1" applyBorder="1" applyAlignment="1" applyProtection="1">
      <alignment horizontal="left" vertical="center" wrapText="1" indent="1"/>
      <protection/>
    </xf>
    <xf numFmtId="2" fontId="0" fillId="9" borderId="23" xfId="0" applyNumberFormat="1" applyFill="1" applyBorder="1" applyAlignment="1" applyProtection="1">
      <alignment horizontal="left" vertical="center" wrapText="1" indent="1"/>
      <protection/>
    </xf>
    <xf numFmtId="0" fontId="4" fillId="0" borderId="0" xfId="0"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9" xfId="0" applyBorder="1" applyAlignment="1" applyProtection="1">
      <alignment horizontal="center" vertical="center" textRotation="90"/>
      <protection/>
    </xf>
    <xf numFmtId="0" fontId="0" fillId="0" borderId="30" xfId="0" applyBorder="1" applyAlignment="1" applyProtection="1">
      <alignment horizontal="center" vertical="center" textRotation="90"/>
      <protection/>
    </xf>
    <xf numFmtId="0" fontId="0" fillId="0" borderId="7" xfId="0" applyBorder="1" applyAlignment="1" applyProtection="1">
      <alignment horizontal="center" vertical="center" textRotation="90"/>
      <protection/>
    </xf>
    <xf numFmtId="2" fontId="0" fillId="9" borderId="38" xfId="0" applyNumberFormat="1" applyFill="1" applyBorder="1" applyAlignment="1" applyProtection="1">
      <alignment horizontal="left" vertical="center" wrapText="1"/>
      <protection/>
    </xf>
    <xf numFmtId="2" fontId="0" fillId="9" borderId="39" xfId="0" applyNumberFormat="1" applyFill="1" applyBorder="1" applyAlignment="1" applyProtection="1">
      <alignment horizontal="left" vertical="center" wrapText="1"/>
      <protection/>
    </xf>
    <xf numFmtId="2" fontId="7" fillId="11" borderId="27" xfId="0" applyNumberFormat="1" applyFont="1" applyFill="1" applyBorder="1" applyAlignment="1" applyProtection="1">
      <alignment horizontal="center" vertical="center" wrapText="1"/>
      <protection/>
    </xf>
    <xf numFmtId="2" fontId="7" fillId="11" borderId="28" xfId="0" applyNumberFormat="1" applyFont="1" applyFill="1" applyBorder="1" applyAlignment="1" applyProtection="1">
      <alignment horizontal="center" vertical="center" wrapText="1"/>
      <protection/>
    </xf>
    <xf numFmtId="2" fontId="0" fillId="4" borderId="18" xfId="0" applyNumberFormat="1" applyFill="1" applyBorder="1" applyAlignment="1" applyProtection="1">
      <alignment horizontal="center" vertical="center" wrapText="1"/>
      <protection/>
    </xf>
    <xf numFmtId="2" fontId="0" fillId="4" borderId="19" xfId="0" applyNumberFormat="1" applyFill="1" applyBorder="1" applyAlignment="1" applyProtection="1">
      <alignment horizontal="center" vertical="center" wrapText="1"/>
      <protection/>
    </xf>
    <xf numFmtId="2" fontId="0" fillId="4" borderId="20" xfId="0" applyNumberFormat="1" applyFill="1" applyBorder="1" applyAlignment="1" applyProtection="1">
      <alignment horizontal="center" vertical="center" wrapText="1"/>
      <protection/>
    </xf>
    <xf numFmtId="2" fontId="0" fillId="4" borderId="21" xfId="0" applyNumberFormat="1" applyFill="1" applyBorder="1" applyAlignment="1" applyProtection="1">
      <alignment horizontal="center" vertical="center" wrapText="1"/>
      <protection/>
    </xf>
    <xf numFmtId="2" fontId="0" fillId="4" borderId="22" xfId="0" applyNumberFormat="1" applyFill="1" applyBorder="1" applyAlignment="1" applyProtection="1">
      <alignment horizontal="center" vertical="center" wrapText="1"/>
      <protection/>
    </xf>
    <xf numFmtId="2" fontId="0" fillId="4" borderId="23" xfId="0" applyNumberFormat="1" applyFill="1" applyBorder="1" applyAlignment="1" applyProtection="1">
      <alignment horizontal="center" vertical="center" wrapText="1"/>
      <protection/>
    </xf>
    <xf numFmtId="0" fontId="4" fillId="9" borderId="18" xfId="0" applyFont="1" applyFill="1" applyBorder="1" applyAlignment="1" applyProtection="1">
      <alignment horizontal="left" vertical="center" wrapText="1" indent="1"/>
      <protection/>
    </xf>
    <xf numFmtId="0" fontId="4" fillId="9" borderId="17" xfId="0" applyFont="1" applyFill="1" applyBorder="1" applyAlignment="1" applyProtection="1">
      <alignment horizontal="left" vertical="center" wrapText="1" indent="1"/>
      <protection/>
    </xf>
    <xf numFmtId="0" fontId="4" fillId="9" borderId="19" xfId="0" applyFont="1" applyFill="1" applyBorder="1" applyAlignment="1" applyProtection="1">
      <alignment horizontal="left" vertical="center" wrapText="1" indent="1"/>
      <protection/>
    </xf>
    <xf numFmtId="0" fontId="4" fillId="9" borderId="20" xfId="0" applyFont="1" applyFill="1" applyBorder="1" applyAlignment="1" applyProtection="1">
      <alignment horizontal="left" vertical="center" wrapText="1" indent="1"/>
      <protection/>
    </xf>
    <xf numFmtId="0" fontId="4" fillId="9" borderId="0" xfId="0" applyFont="1" applyFill="1" applyBorder="1" applyAlignment="1" applyProtection="1">
      <alignment horizontal="left" vertical="center" wrapText="1" indent="1"/>
      <protection/>
    </xf>
    <xf numFmtId="0" fontId="4" fillId="9" borderId="21" xfId="0" applyFont="1" applyFill="1" applyBorder="1" applyAlignment="1" applyProtection="1">
      <alignment horizontal="left" vertical="center" wrapText="1" indent="1"/>
      <protection/>
    </xf>
    <xf numFmtId="0" fontId="4" fillId="9" borderId="22" xfId="0" applyFont="1" applyFill="1" applyBorder="1" applyAlignment="1" applyProtection="1">
      <alignment horizontal="left" vertical="center" wrapText="1" indent="1"/>
      <protection/>
    </xf>
    <xf numFmtId="0" fontId="4" fillId="9" borderId="24" xfId="0" applyFont="1" applyFill="1" applyBorder="1" applyAlignment="1" applyProtection="1">
      <alignment horizontal="left" vertical="center" wrapText="1" indent="1"/>
      <protection/>
    </xf>
    <xf numFmtId="0" fontId="4" fillId="9" borderId="23" xfId="0" applyFont="1" applyFill="1" applyBorder="1" applyAlignment="1" applyProtection="1">
      <alignment horizontal="left" vertical="center" wrapText="1" indent="1"/>
      <protection/>
    </xf>
    <xf numFmtId="0" fontId="0" fillId="0" borderId="29" xfId="0" applyFill="1" applyBorder="1" applyAlignment="1" applyProtection="1">
      <alignment horizontal="center" textRotation="90"/>
      <protection/>
    </xf>
    <xf numFmtId="0" fontId="0" fillId="0" borderId="30" xfId="0" applyFill="1" applyBorder="1" applyAlignment="1" applyProtection="1">
      <alignment horizontal="center" textRotation="90"/>
      <protection/>
    </xf>
    <xf numFmtId="0" fontId="0" fillId="0" borderId="7" xfId="0" applyFill="1" applyBorder="1" applyAlignment="1" applyProtection="1">
      <alignment horizontal="center" textRotation="90"/>
      <protection/>
    </xf>
    <xf numFmtId="2" fontId="7" fillId="0" borderId="27" xfId="0" applyNumberFormat="1" applyFont="1" applyFill="1" applyBorder="1" applyAlignment="1" applyProtection="1">
      <alignment horizontal="center" vertical="center" wrapText="1"/>
      <protection/>
    </xf>
    <xf numFmtId="2" fontId="7" fillId="0" borderId="28" xfId="0" applyNumberFormat="1" applyFont="1" applyFill="1" applyBorder="1" applyAlignment="1" applyProtection="1">
      <alignment horizontal="center" vertical="center" wrapText="1"/>
      <protection/>
    </xf>
    <xf numFmtId="2" fontId="0" fillId="7" borderId="18" xfId="0" applyNumberFormat="1" applyFill="1" applyBorder="1" applyAlignment="1" applyProtection="1">
      <alignment horizontal="left" vertical="center" wrapText="1" indent="1"/>
      <protection/>
    </xf>
    <xf numFmtId="2" fontId="0" fillId="7" borderId="19" xfId="0" applyNumberFormat="1" applyFill="1" applyBorder="1" applyAlignment="1" applyProtection="1">
      <alignment horizontal="left" vertical="center" wrapText="1" indent="1"/>
      <protection/>
    </xf>
    <xf numFmtId="2" fontId="0" fillId="7" borderId="20" xfId="0" applyNumberFormat="1" applyFill="1" applyBorder="1" applyAlignment="1" applyProtection="1">
      <alignment horizontal="left" vertical="center" wrapText="1" indent="1"/>
      <protection/>
    </xf>
    <xf numFmtId="2" fontId="0" fillId="7" borderId="21" xfId="0" applyNumberFormat="1" applyFill="1" applyBorder="1" applyAlignment="1" applyProtection="1">
      <alignment horizontal="left" vertical="center" wrapText="1" indent="1"/>
      <protection/>
    </xf>
    <xf numFmtId="2" fontId="0" fillId="7" borderId="38" xfId="0" applyNumberFormat="1" applyFill="1" applyBorder="1" applyAlignment="1" applyProtection="1">
      <alignment horizontal="left" vertical="center" wrapText="1" indent="1"/>
      <protection/>
    </xf>
    <xf numFmtId="2" fontId="0" fillId="7" borderId="39" xfId="0" applyNumberFormat="1" applyFill="1" applyBorder="1" applyAlignment="1" applyProtection="1">
      <alignment horizontal="left" vertical="center" wrapText="1" indent="1"/>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5" xfId="0" applyFill="1" applyBorder="1" applyAlignment="1" applyProtection="1">
      <alignment horizontal="center" vertical="center"/>
      <protection/>
    </xf>
    <xf numFmtId="2" fontId="0" fillId="7" borderId="18" xfId="0" applyNumberFormat="1" applyFill="1" applyBorder="1" applyAlignment="1" applyProtection="1">
      <alignment horizontal="left" vertical="center" wrapText="1"/>
      <protection/>
    </xf>
    <xf numFmtId="2" fontId="0" fillId="7" borderId="19" xfId="0" applyNumberFormat="1" applyFill="1" applyBorder="1" applyAlignment="1" applyProtection="1">
      <alignment horizontal="left" vertical="center" wrapText="1"/>
      <protection/>
    </xf>
    <xf numFmtId="2" fontId="0" fillId="7" borderId="20" xfId="0" applyNumberFormat="1" applyFill="1" applyBorder="1" applyAlignment="1" applyProtection="1">
      <alignment horizontal="left" vertical="center" wrapText="1"/>
      <protection/>
    </xf>
    <xf numFmtId="2" fontId="0" fillId="7" borderId="21" xfId="0" applyNumberFormat="1" applyFill="1" applyBorder="1" applyAlignment="1" applyProtection="1">
      <alignment horizontal="left" vertical="center" wrapText="1"/>
      <protection/>
    </xf>
    <xf numFmtId="2" fontId="0" fillId="7" borderId="38" xfId="0" applyNumberFormat="1" applyFill="1" applyBorder="1" applyAlignment="1" applyProtection="1">
      <alignment horizontal="left" vertical="center" wrapText="1"/>
      <protection/>
    </xf>
    <xf numFmtId="2" fontId="0" fillId="7" borderId="39" xfId="0" applyNumberFormat="1" applyFill="1" applyBorder="1" applyAlignment="1" applyProtection="1">
      <alignment horizontal="left" vertical="center" wrapText="1"/>
      <protection/>
    </xf>
    <xf numFmtId="0" fontId="4" fillId="0" borderId="27"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0" fillId="0" borderId="29" xfId="0" applyFill="1" applyBorder="1" applyAlignment="1" applyProtection="1">
      <alignment horizontal="center" vertical="center" textRotation="90"/>
      <protection/>
    </xf>
    <xf numFmtId="0" fontId="0" fillId="0" borderId="30" xfId="0" applyFill="1" applyBorder="1" applyAlignment="1" applyProtection="1">
      <alignment horizontal="center" vertical="center" textRotation="90"/>
      <protection/>
    </xf>
    <xf numFmtId="0" fontId="0" fillId="0" borderId="7" xfId="0" applyFill="1" applyBorder="1" applyAlignment="1" applyProtection="1">
      <alignment horizontal="center" vertical="center" textRotation="90"/>
      <protection/>
    </xf>
    <xf numFmtId="2" fontId="0" fillId="4" borderId="17" xfId="0" applyNumberFormat="1" applyFill="1" applyBorder="1" applyAlignment="1" applyProtection="1">
      <alignment horizontal="left" vertical="center" wrapText="1" indent="1"/>
      <protection/>
    </xf>
    <xf numFmtId="2" fontId="0" fillId="4" borderId="0" xfId="0" applyNumberFormat="1" applyFill="1" applyBorder="1" applyAlignment="1" applyProtection="1">
      <alignment horizontal="left" vertical="center" wrapText="1" indent="1"/>
      <protection/>
    </xf>
    <xf numFmtId="2" fontId="0" fillId="4" borderId="24" xfId="0" applyNumberFormat="1" applyFill="1" applyBorder="1" applyAlignment="1" applyProtection="1">
      <alignment horizontal="left" vertical="center" wrapText="1" indent="1"/>
      <protection/>
    </xf>
    <xf numFmtId="0" fontId="0" fillId="0" borderId="24" xfId="0" applyBorder="1" applyAlignment="1" applyProtection="1">
      <alignment horizontal="center" vertical="center"/>
      <protection/>
    </xf>
    <xf numFmtId="0" fontId="11" fillId="0" borderId="24" xfId="18" applyBorder="1" applyAlignment="1" applyProtection="1">
      <alignment horizontal="center" vertical="center"/>
      <protection/>
    </xf>
    <xf numFmtId="0" fontId="13" fillId="0" borderId="24" xfId="0" applyFont="1" applyBorder="1" applyAlignment="1" applyProtection="1">
      <alignment horizontal="center" vertical="center"/>
      <protection/>
    </xf>
    <xf numFmtId="0" fontId="4" fillId="7" borderId="3" xfId="0" applyFont="1" applyFill="1" applyBorder="1" applyAlignment="1" applyProtection="1">
      <alignment horizontal="left" vertical="center" indent="1"/>
      <protection/>
    </xf>
    <xf numFmtId="0" fontId="4" fillId="7" borderId="4" xfId="0" applyFont="1" applyFill="1" applyBorder="1" applyAlignment="1" applyProtection="1">
      <alignment horizontal="left" vertical="center" indent="1"/>
      <protection/>
    </xf>
    <xf numFmtId="2" fontId="0" fillId="4" borderId="45" xfId="0" applyNumberFormat="1" applyFill="1" applyBorder="1" applyAlignment="1" applyProtection="1">
      <alignment horizontal="center" vertical="center"/>
      <protection locked="0"/>
    </xf>
    <xf numFmtId="2" fontId="0" fillId="4" borderId="1" xfId="0" applyNumberFormat="1" applyFill="1" applyBorder="1" applyAlignment="1" applyProtection="1">
      <alignment horizontal="center" vertical="center"/>
      <protection locked="0"/>
    </xf>
    <xf numFmtId="1" fontId="0" fillId="4" borderId="45" xfId="0" applyNumberFormat="1" applyFill="1" applyBorder="1" applyAlignment="1" applyProtection="1">
      <alignment horizontal="right" vertical="center" indent="2"/>
      <protection locked="0"/>
    </xf>
    <xf numFmtId="1" fontId="0" fillId="4" borderId="1" xfId="0" applyNumberFormat="1" applyFill="1" applyBorder="1" applyAlignment="1" applyProtection="1">
      <alignment horizontal="right" vertical="center" indent="2"/>
      <protection locked="0"/>
    </xf>
    <xf numFmtId="1" fontId="0" fillId="4" borderId="45" xfId="0" applyNumberFormat="1" applyFill="1" applyBorder="1" applyAlignment="1" applyProtection="1">
      <alignment horizontal="center" vertical="center"/>
      <protection locked="0"/>
    </xf>
    <xf numFmtId="1" fontId="0" fillId="4" borderId="1" xfId="0" applyNumberFormat="1" applyFill="1" applyBorder="1" applyAlignment="1" applyProtection="1">
      <alignment horizontal="center" vertical="center"/>
      <protection locked="0"/>
    </xf>
    <xf numFmtId="1" fontId="0" fillId="4" borderId="45" xfId="0" applyNumberFormat="1" applyFill="1" applyBorder="1" applyAlignment="1" applyProtection="1">
      <alignment horizontal="center" vertical="center"/>
      <protection locked="0"/>
    </xf>
    <xf numFmtId="1" fontId="0" fillId="4" borderId="1" xfId="0" applyNumberFormat="1" applyFill="1" applyBorder="1" applyAlignment="1" applyProtection="1">
      <alignment horizontal="center" vertical="center"/>
      <protection locked="0"/>
    </xf>
    <xf numFmtId="166" fontId="0" fillId="4" borderId="25" xfId="0" applyNumberFormat="1" applyFill="1" applyBorder="1" applyAlignment="1" applyProtection="1">
      <alignment horizontal="center" vertical="center"/>
      <protection locked="0"/>
    </xf>
    <xf numFmtId="166" fontId="0" fillId="4" borderId="26" xfId="0" applyNumberFormat="1" applyFill="1" applyBorder="1" applyAlignment="1" applyProtection="1">
      <alignment horizontal="center" vertical="center"/>
      <protection locked="0"/>
    </xf>
    <xf numFmtId="166" fontId="0" fillId="4" borderId="44" xfId="0" applyNumberFormat="1" applyFill="1" applyBorder="1" applyAlignment="1" applyProtection="1">
      <alignment horizontal="right" vertical="center" indent="2"/>
      <protection locked="0"/>
    </xf>
    <xf numFmtId="166" fontId="0" fillId="4" borderId="5" xfId="0" applyNumberFormat="1" applyFill="1" applyBorder="1" applyAlignment="1" applyProtection="1">
      <alignment horizontal="right" vertical="center" indent="2"/>
      <protection locked="0"/>
    </xf>
    <xf numFmtId="2" fontId="0" fillId="5" borderId="16" xfId="0" applyNumberFormat="1" applyFill="1" applyBorder="1" applyAlignment="1" applyProtection="1">
      <alignment horizontal="right" vertical="center" indent="2"/>
      <protection/>
    </xf>
    <xf numFmtId="2" fontId="0" fillId="5" borderId="11" xfId="0" applyNumberFormat="1" applyFill="1" applyBorder="1" applyAlignment="1" applyProtection="1">
      <alignment horizontal="right" vertical="center" indent="2"/>
      <protection/>
    </xf>
    <xf numFmtId="2" fontId="0" fillId="5" borderId="46" xfId="0" applyNumberFormat="1" applyFill="1" applyBorder="1" applyAlignment="1" applyProtection="1">
      <alignment horizontal="right" vertical="center" indent="2"/>
      <protection/>
    </xf>
    <xf numFmtId="2" fontId="0" fillId="5" borderId="34" xfId="0" applyNumberFormat="1" applyFill="1" applyBorder="1" applyAlignment="1" applyProtection="1">
      <alignment horizontal="right" vertical="center" indent="2"/>
      <protection/>
    </xf>
    <xf numFmtId="2" fontId="0" fillId="5" borderId="45" xfId="0" applyNumberFormat="1" applyFill="1" applyBorder="1" applyAlignment="1" applyProtection="1">
      <alignment horizontal="right" vertical="center" indent="2"/>
      <protection/>
    </xf>
    <xf numFmtId="2" fontId="0" fillId="5" borderId="1" xfId="0" applyNumberFormat="1" applyFill="1" applyBorder="1" applyAlignment="1" applyProtection="1">
      <alignment horizontal="right" vertical="center" indent="2"/>
      <protection/>
    </xf>
    <xf numFmtId="2" fontId="0" fillId="5" borderId="45" xfId="0" applyNumberFormat="1" applyFill="1" applyBorder="1" applyAlignment="1" applyProtection="1">
      <alignment horizontal="center" vertical="center"/>
      <protection/>
    </xf>
    <xf numFmtId="2" fontId="0" fillId="5" borderId="1" xfId="0" applyNumberFormat="1" applyFill="1" applyBorder="1" applyAlignment="1" applyProtection="1">
      <alignment horizontal="center" vertical="center"/>
      <protection/>
    </xf>
    <xf numFmtId="2" fontId="0" fillId="5" borderId="45" xfId="0" applyNumberFormat="1" applyFill="1" applyBorder="1" applyAlignment="1" applyProtection="1">
      <alignment horizontal="center" vertical="center"/>
      <protection/>
    </xf>
    <xf numFmtId="2" fontId="0" fillId="5" borderId="1" xfId="0" applyNumberFormat="1" applyFill="1" applyBorder="1" applyAlignment="1" applyProtection="1">
      <alignment horizontal="center" vertical="center"/>
      <protection/>
    </xf>
    <xf numFmtId="2" fontId="0" fillId="5" borderId="25" xfId="0" applyNumberFormat="1" applyFill="1" applyBorder="1" applyAlignment="1" applyProtection="1">
      <alignment horizontal="center" vertical="center"/>
      <protection/>
    </xf>
    <xf numFmtId="2" fontId="0" fillId="5" borderId="26" xfId="0" applyNumberFormat="1" applyFill="1" applyBorder="1" applyAlignment="1" applyProtection="1">
      <alignment horizontal="center" vertical="center"/>
      <protection/>
    </xf>
    <xf numFmtId="167" fontId="0" fillId="5" borderId="44" xfId="0" applyNumberFormat="1" applyFill="1" applyBorder="1" applyAlignment="1" applyProtection="1">
      <alignment horizontal="right" vertical="center" indent="2"/>
      <protection/>
    </xf>
    <xf numFmtId="167" fontId="0" fillId="5" borderId="5" xfId="0" applyNumberFormat="1" applyFill="1" applyBorder="1" applyAlignment="1" applyProtection="1">
      <alignment horizontal="right" vertical="center" indent="2"/>
      <protection/>
    </xf>
    <xf numFmtId="0" fontId="4" fillId="10" borderId="2" xfId="0" applyFont="1" applyFill="1" applyBorder="1" applyAlignment="1" applyProtection="1">
      <alignment horizontal="left" vertical="center" indent="1"/>
      <protection/>
    </xf>
    <xf numFmtId="0" fontId="4" fillId="10" borderId="47" xfId="0" applyFont="1" applyFill="1" applyBorder="1" applyAlignment="1" applyProtection="1">
      <alignment horizontal="left" vertical="center" indent="1"/>
      <protection/>
    </xf>
    <xf numFmtId="0" fontId="4" fillId="10" borderId="15" xfId="0" applyFont="1" applyFill="1" applyBorder="1" applyAlignment="1" applyProtection="1">
      <alignment horizontal="left" vertical="center" indent="1"/>
      <protection/>
    </xf>
    <xf numFmtId="0" fontId="4" fillId="10" borderId="43" xfId="0" applyFont="1" applyFill="1" applyBorder="1" applyAlignment="1" applyProtection="1">
      <alignment horizontal="left" vertical="center" indent="1"/>
      <protection/>
    </xf>
    <xf numFmtId="0" fontId="4" fillId="10" borderId="3" xfId="0" applyFont="1" applyFill="1" applyBorder="1" applyAlignment="1" applyProtection="1">
      <alignment horizontal="left" vertical="center" indent="1"/>
      <protection/>
    </xf>
    <xf numFmtId="2" fontId="0" fillId="9" borderId="45" xfId="0" applyNumberFormat="1" applyFill="1" applyBorder="1" applyAlignment="1" applyProtection="1">
      <alignment horizontal="center" vertical="center"/>
      <protection locked="0"/>
    </xf>
    <xf numFmtId="2" fontId="0" fillId="9" borderId="1" xfId="0" applyNumberFormat="1" applyFill="1" applyBorder="1" applyAlignment="1" applyProtection="1">
      <alignment horizontal="center" vertical="center"/>
      <protection locked="0"/>
    </xf>
    <xf numFmtId="1" fontId="0" fillId="9" borderId="45" xfId="0" applyNumberFormat="1" applyFill="1" applyBorder="1" applyAlignment="1" applyProtection="1">
      <alignment horizontal="right" vertical="center" indent="2"/>
      <protection locked="0"/>
    </xf>
    <xf numFmtId="1" fontId="0" fillId="9" borderId="1" xfId="0" applyNumberFormat="1" applyFill="1" applyBorder="1" applyAlignment="1" applyProtection="1">
      <alignment horizontal="right" vertical="center" indent="2"/>
      <protection locked="0"/>
    </xf>
    <xf numFmtId="1" fontId="0" fillId="9" borderId="45" xfId="0" applyNumberFormat="1" applyFill="1" applyBorder="1" applyAlignment="1" applyProtection="1">
      <alignment horizontal="center" vertical="center"/>
      <protection locked="0"/>
    </xf>
    <xf numFmtId="1" fontId="0" fillId="9" borderId="1" xfId="0" applyNumberFormat="1" applyFill="1" applyBorder="1" applyAlignment="1" applyProtection="1">
      <alignment horizontal="center" vertical="center"/>
      <protection locked="0"/>
    </xf>
    <xf numFmtId="166" fontId="0" fillId="9" borderId="44" xfId="0" applyNumberFormat="1" applyFill="1" applyBorder="1" applyAlignment="1" applyProtection="1">
      <alignment horizontal="right" vertical="center" indent="2"/>
      <protection locked="0"/>
    </xf>
    <xf numFmtId="166" fontId="0" fillId="9" borderId="5" xfId="0" applyNumberFormat="1" applyFill="1" applyBorder="1" applyAlignment="1" applyProtection="1">
      <alignment horizontal="right" vertical="center" indent="2"/>
      <protection locked="0"/>
    </xf>
    <xf numFmtId="1" fontId="0" fillId="9" borderId="25" xfId="0" applyNumberFormat="1" applyFill="1" applyBorder="1" applyAlignment="1" applyProtection="1">
      <alignment horizontal="center" vertical="center"/>
      <protection locked="0"/>
    </xf>
    <xf numFmtId="1" fontId="0" fillId="9" borderId="26" xfId="0" applyNumberFormat="1" applyFill="1" applyBorder="1" applyAlignment="1" applyProtection="1">
      <alignment horizontal="center" vertical="center"/>
      <protection locked="0"/>
    </xf>
    <xf numFmtId="2" fontId="0" fillId="9" borderId="25" xfId="0" applyNumberFormat="1" applyFill="1" applyBorder="1" applyAlignment="1" applyProtection="1">
      <alignment horizontal="center" vertical="center"/>
      <protection locked="0"/>
    </xf>
    <xf numFmtId="2" fontId="0" fillId="9" borderId="26" xfId="0" applyNumberFormat="1" applyFill="1" applyBorder="1" applyAlignment="1" applyProtection="1">
      <alignment horizontal="center" vertical="center"/>
      <protection locked="0"/>
    </xf>
    <xf numFmtId="2" fontId="0" fillId="9" borderId="48" xfId="0" applyNumberFormat="1" applyFill="1" applyBorder="1" applyAlignment="1" applyProtection="1">
      <alignment horizontal="center" vertical="center"/>
      <protection locked="0"/>
    </xf>
    <xf numFmtId="2" fontId="0" fillId="9" borderId="49" xfId="0" applyNumberFormat="1" applyFill="1" applyBorder="1" applyAlignment="1" applyProtection="1">
      <alignment horizontal="center" vertical="center"/>
      <protection locked="0"/>
    </xf>
    <xf numFmtId="2" fontId="0" fillId="5" borderId="36" xfId="0" applyNumberFormat="1" applyFill="1" applyBorder="1" applyAlignment="1" applyProtection="1">
      <alignment horizontal="center" vertical="center"/>
      <protection/>
    </xf>
    <xf numFmtId="2" fontId="0" fillId="5" borderId="37" xfId="0" applyNumberFormat="1" applyFill="1" applyBorder="1" applyAlignment="1" applyProtection="1">
      <alignment horizontal="center" vertical="center"/>
      <protection/>
    </xf>
    <xf numFmtId="0" fontId="4" fillId="10" borderId="50" xfId="0" applyFont="1" applyFill="1" applyBorder="1" applyAlignment="1" applyProtection="1">
      <alignment horizontal="left" vertical="center" indent="1"/>
      <protection/>
    </xf>
    <xf numFmtId="0" fontId="0" fillId="0" borderId="23" xfId="0" applyBorder="1" applyAlignment="1" applyProtection="1">
      <alignment horizontal="center" vertical="center"/>
      <protection/>
    </xf>
    <xf numFmtId="0" fontId="4" fillId="10" borderId="50" xfId="0" applyFont="1" applyFill="1" applyBorder="1" applyAlignment="1" applyProtection="1">
      <alignment horizontal="left" vertical="center"/>
      <protection/>
    </xf>
    <xf numFmtId="0" fontId="4" fillId="10" borderId="3" xfId="0" applyFont="1" applyFill="1" applyBorder="1" applyAlignment="1" applyProtection="1">
      <alignment horizontal="left" vertical="center"/>
      <protection/>
    </xf>
    <xf numFmtId="0" fontId="4" fillId="10" borderId="15" xfId="0" applyFont="1" applyFill="1" applyBorder="1" applyAlignment="1" applyProtection="1">
      <alignment horizontal="left" vertical="center"/>
      <protection/>
    </xf>
    <xf numFmtId="0" fontId="4" fillId="10" borderId="43" xfId="0" applyFont="1" applyFill="1" applyBorder="1" applyAlignment="1" applyProtection="1">
      <alignment horizontal="left" vertical="center"/>
      <protection/>
    </xf>
    <xf numFmtId="0" fontId="4" fillId="7" borderId="3" xfId="0" applyFont="1" applyFill="1" applyBorder="1" applyAlignment="1" applyProtection="1">
      <alignment horizontal="left" vertical="center"/>
      <protection/>
    </xf>
    <xf numFmtId="0" fontId="4" fillId="7" borderId="4" xfId="0" applyFont="1" applyFill="1" applyBorder="1" applyAlignment="1" applyProtection="1">
      <alignment horizontal="left" vertical="center"/>
      <protection/>
    </xf>
    <xf numFmtId="2" fontId="0" fillId="5" borderId="48" xfId="0" applyNumberFormat="1" applyFill="1" applyBorder="1" applyAlignment="1" applyProtection="1">
      <alignment horizontal="center" vertical="center"/>
      <protection/>
    </xf>
    <xf numFmtId="2" fontId="0" fillId="5" borderId="49" xfId="0" applyNumberFormat="1" applyFill="1" applyBorder="1" applyAlignment="1" applyProtection="1">
      <alignment horizontal="center" vertical="center"/>
      <protection/>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22</xdr:row>
      <xdr:rowOff>57150</xdr:rowOff>
    </xdr:from>
    <xdr:to>
      <xdr:col>7</xdr:col>
      <xdr:colOff>1409700</xdr:colOff>
      <xdr:row>29</xdr:row>
      <xdr:rowOff>57150</xdr:rowOff>
    </xdr:to>
    <xdr:pic>
      <xdr:nvPicPr>
        <xdr:cNvPr id="1" name="Picture 2"/>
        <xdr:cNvPicPr preferRelativeResize="1">
          <a:picLocks noChangeAspect="1"/>
        </xdr:cNvPicPr>
      </xdr:nvPicPr>
      <xdr:blipFill>
        <a:blip r:embed="rId1"/>
        <a:stretch>
          <a:fillRect/>
        </a:stretch>
      </xdr:blipFill>
      <xdr:spPr>
        <a:xfrm>
          <a:off x="6648450" y="1695450"/>
          <a:ext cx="2657475"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22</xdr:row>
      <xdr:rowOff>57150</xdr:rowOff>
    </xdr:from>
    <xdr:to>
      <xdr:col>7</xdr:col>
      <xdr:colOff>1409700</xdr:colOff>
      <xdr:row>29</xdr:row>
      <xdr:rowOff>57150</xdr:rowOff>
    </xdr:to>
    <xdr:pic>
      <xdr:nvPicPr>
        <xdr:cNvPr id="1" name="Picture 1"/>
        <xdr:cNvPicPr preferRelativeResize="1">
          <a:picLocks noChangeAspect="1"/>
        </xdr:cNvPicPr>
      </xdr:nvPicPr>
      <xdr:blipFill>
        <a:blip r:embed="rId1"/>
        <a:stretch>
          <a:fillRect/>
        </a:stretch>
      </xdr:blipFill>
      <xdr:spPr>
        <a:xfrm>
          <a:off x="6648450" y="1685925"/>
          <a:ext cx="2657475"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hendislikbilgiler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uhendislikbilgileri.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uhendislikbilgileri.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uhendislikbilgileri.co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54"/>
  <sheetViews>
    <sheetView showGridLines="0" workbookViewId="0" topLeftCell="A17">
      <selection activeCell="C34" sqref="C34"/>
    </sheetView>
  </sheetViews>
  <sheetFormatPr defaultColWidth="9.00390625" defaultRowHeight="12.75" zeroHeight="1"/>
  <cols>
    <col min="1" max="1" width="3.125" style="48" customWidth="1"/>
    <col min="2" max="2" width="5.625" style="48" customWidth="1"/>
    <col min="3" max="3" width="31.75390625" style="46" customWidth="1"/>
    <col min="4" max="4" width="14.625" style="47" customWidth="1"/>
    <col min="5" max="5" width="15.125" style="48" customWidth="1"/>
    <col min="6" max="6" width="9.125" style="46" customWidth="1"/>
    <col min="7" max="7" width="24.25390625" style="49" customWidth="1"/>
    <col min="8" max="8" width="25.75390625" style="49" customWidth="1"/>
    <col min="9" max="9" width="6.125" style="46" customWidth="1"/>
    <col min="10" max="10" width="30.75390625" style="48" customWidth="1"/>
    <col min="11" max="11" width="15.25390625" style="48" customWidth="1"/>
    <col min="12" max="12" width="18.75390625" style="48" customWidth="1"/>
    <col min="13" max="13" width="9.125" style="50" customWidth="1"/>
    <col min="14" max="14" width="3.875" style="48" customWidth="1"/>
    <col min="15" max="16384" width="0" style="48" hidden="1" customWidth="1"/>
  </cols>
  <sheetData>
    <row r="1" ht="19.5" customHeight="1" hidden="1"/>
    <row r="2" spans="3:10" ht="19.5" customHeight="1" hidden="1">
      <c r="C2" s="46" t="s">
        <v>59</v>
      </c>
      <c r="D2" s="47">
        <f>D23</f>
        <v>7</v>
      </c>
      <c r="E2" s="48">
        <f>D2*PI()/180</f>
        <v>0.12217304763960307</v>
      </c>
      <c r="I2" s="46" t="s">
        <v>94</v>
      </c>
      <c r="J2" s="48">
        <f>ATAN(D10/COS(E2))</f>
        <v>0.3514773386474827</v>
      </c>
    </row>
    <row r="3" spans="3:7" ht="19.5" customHeight="1" hidden="1">
      <c r="C3" s="46" t="s">
        <v>1</v>
      </c>
      <c r="D3" s="47">
        <f>D20</f>
        <v>2</v>
      </c>
      <c r="F3" s="46" t="s">
        <v>60</v>
      </c>
      <c r="G3" s="49">
        <f>D3/COS(E2)</f>
        <v>2.0150196509176967</v>
      </c>
    </row>
    <row r="4" spans="3:4" ht="19.5" customHeight="1" hidden="1">
      <c r="C4" s="46" t="s">
        <v>2</v>
      </c>
      <c r="D4" s="47">
        <f>D21</f>
        <v>86</v>
      </c>
    </row>
    <row r="5" ht="19.5" customHeight="1" hidden="1"/>
    <row r="6" spans="3:13" ht="19.5" customHeight="1" hidden="1">
      <c r="C6" s="46" t="s">
        <v>19</v>
      </c>
      <c r="D6" s="47">
        <f>D25</f>
        <v>178</v>
      </c>
      <c r="F6" s="46" t="s">
        <v>4</v>
      </c>
      <c r="G6" s="49">
        <f>J6+2*D3</f>
        <v>177.29168997892194</v>
      </c>
      <c r="I6" s="46" t="s">
        <v>14</v>
      </c>
      <c r="J6" s="48">
        <f>D3*D4/COS(E2)</f>
        <v>173.29168997892194</v>
      </c>
      <c r="L6" s="48" t="s">
        <v>26</v>
      </c>
      <c r="M6" s="50">
        <f>J6-2.5*D3</f>
        <v>168.29168997892194</v>
      </c>
    </row>
    <row r="7" ht="19.5" customHeight="1" hidden="1"/>
    <row r="8" ht="19.5" customHeight="1" hidden="1"/>
    <row r="9" spans="3:4" ht="19.5" customHeight="1" hidden="1">
      <c r="C9" s="51" t="s">
        <v>0</v>
      </c>
      <c r="D9" s="47">
        <f>D22</f>
        <v>20</v>
      </c>
    </row>
    <row r="10" spans="3:7" ht="19.5" customHeight="1" hidden="1">
      <c r="C10" s="51" t="s">
        <v>22</v>
      </c>
      <c r="D10" s="47">
        <f>TAN(D9*PI()/180)</f>
        <v>0.36397023426620234</v>
      </c>
      <c r="F10" s="46" t="s">
        <v>7</v>
      </c>
      <c r="G10" s="49">
        <f>(D8-G8)/D3</f>
        <v>0</v>
      </c>
    </row>
    <row r="11" spans="3:10" ht="19.5" customHeight="1" hidden="1">
      <c r="C11" s="46" t="s">
        <v>21</v>
      </c>
      <c r="D11" s="52">
        <f>D10-(D9*3.14/180)</f>
        <v>0.015081345377313427</v>
      </c>
      <c r="F11" s="46" t="s">
        <v>8</v>
      </c>
      <c r="G11" s="49">
        <f>(D6-J6)/2</f>
        <v>2.3541550105390314</v>
      </c>
      <c r="I11" s="46" t="s">
        <v>13</v>
      </c>
      <c r="J11" s="48">
        <f>(2.25+G10-(G13+G14))*D3</f>
        <v>2.5</v>
      </c>
    </row>
    <row r="12" spans="3:12" ht="19.5" customHeight="1" hidden="1">
      <c r="C12" s="51" t="s">
        <v>23</v>
      </c>
      <c r="D12" s="52">
        <f>COS(D9*3.14/180)</f>
        <v>0.9397531304731841</v>
      </c>
      <c r="F12" s="46" t="s">
        <v>9</v>
      </c>
      <c r="G12" s="49">
        <f>(D7-J7)/2</f>
        <v>0</v>
      </c>
      <c r="I12" s="46" t="s">
        <v>16</v>
      </c>
      <c r="J12" s="53">
        <f>0.5+(D4*D9)/180</f>
        <v>10.055555555555555</v>
      </c>
      <c r="L12" s="53">
        <f>ROUND(J12,0)</f>
        <v>10</v>
      </c>
    </row>
    <row r="13" spans="3:12" ht="19.5" customHeight="1" hidden="1">
      <c r="C13" s="51" t="s">
        <v>24</v>
      </c>
      <c r="D13" s="52">
        <f>SIN(D9*3.14/180)</f>
        <v>0.34185384854620343</v>
      </c>
      <c r="F13" s="46" t="s">
        <v>10</v>
      </c>
      <c r="G13" s="49">
        <f>1+G10-(G12/D3)</f>
        <v>1</v>
      </c>
      <c r="J13" s="53"/>
      <c r="L13" s="53">
        <f>ROUND(J13,0)</f>
        <v>0</v>
      </c>
    </row>
    <row r="14" spans="9:10" ht="19.5" customHeight="1" hidden="1">
      <c r="I14" s="49" t="s">
        <v>58</v>
      </c>
      <c r="J14" s="50">
        <f>(D27-((PI()*(L12-0.5))+D4*D11)*D12*D3)/(2*D3*D13)</f>
        <v>-0.3889239745316219</v>
      </c>
    </row>
    <row r="15" spans="3:10" ht="19.5" customHeight="1" hidden="1">
      <c r="C15" s="46" t="s">
        <v>44</v>
      </c>
      <c r="D15" s="47">
        <f>E27/(D5+2)</f>
        <v>0</v>
      </c>
      <c r="I15" s="49"/>
      <c r="J15" s="50"/>
    </row>
    <row r="16" spans="9:10" ht="19.5" customHeight="1" hidden="1" thickBot="1">
      <c r="I16" s="54" t="s">
        <v>69</v>
      </c>
      <c r="J16" s="49">
        <f>(PI()*H31*(H32+2))/H32</f>
        <v>10.533575367918717</v>
      </c>
    </row>
    <row r="17" spans="3:11" ht="30" customHeight="1" thickBot="1">
      <c r="C17" s="210" t="s">
        <v>111</v>
      </c>
      <c r="D17" s="262"/>
      <c r="E17" s="55" t="s">
        <v>71</v>
      </c>
      <c r="H17" s="45" t="s">
        <v>72</v>
      </c>
      <c r="K17" s="45" t="s">
        <v>73</v>
      </c>
    </row>
    <row r="18" spans="2:11" ht="21" customHeight="1" thickBot="1">
      <c r="B18" s="127" t="s">
        <v>55</v>
      </c>
      <c r="C18" s="128"/>
      <c r="D18" s="128"/>
      <c r="E18" s="129"/>
      <c r="G18" s="121" t="s">
        <v>75</v>
      </c>
      <c r="H18" s="122"/>
      <c r="J18" s="115" t="s">
        <v>45</v>
      </c>
      <c r="K18" s="116"/>
    </row>
    <row r="19" spans="2:11" ht="19.5" customHeight="1">
      <c r="B19" s="110" t="s">
        <v>40</v>
      </c>
      <c r="C19" s="56"/>
      <c r="D19" s="130" t="s">
        <v>93</v>
      </c>
      <c r="E19" s="131"/>
      <c r="G19" s="123"/>
      <c r="H19" s="124"/>
      <c r="J19" s="117"/>
      <c r="K19" s="118"/>
    </row>
    <row r="20" spans="2:11" ht="19.5" customHeight="1">
      <c r="B20" s="111"/>
      <c r="C20" s="267" t="s">
        <v>61</v>
      </c>
      <c r="D20" s="255">
        <v>2</v>
      </c>
      <c r="E20" s="256"/>
      <c r="G20" s="123"/>
      <c r="H20" s="124"/>
      <c r="I20" s="49"/>
      <c r="J20" s="117"/>
      <c r="K20" s="118"/>
    </row>
    <row r="21" spans="2:11" ht="19.5" customHeight="1" thickBot="1">
      <c r="B21" s="111"/>
      <c r="C21" s="267" t="s">
        <v>28</v>
      </c>
      <c r="D21" s="253">
        <v>86</v>
      </c>
      <c r="E21" s="254"/>
      <c r="G21" s="125"/>
      <c r="H21" s="126"/>
      <c r="J21" s="119"/>
      <c r="K21" s="120"/>
    </row>
    <row r="22" spans="2:11" ht="19.5" customHeight="1">
      <c r="B22" s="111"/>
      <c r="C22" s="267" t="s">
        <v>31</v>
      </c>
      <c r="D22" s="253">
        <v>20</v>
      </c>
      <c r="E22" s="254"/>
      <c r="G22" s="132"/>
      <c r="H22" s="133"/>
      <c r="J22" s="64" t="s">
        <v>46</v>
      </c>
      <c r="K22" s="1">
        <v>86</v>
      </c>
    </row>
    <row r="23" spans="2:11" ht="19.5" customHeight="1">
      <c r="B23" s="111"/>
      <c r="C23" s="267" t="s">
        <v>51</v>
      </c>
      <c r="D23" s="253">
        <v>7</v>
      </c>
      <c r="E23" s="254"/>
      <c r="G23" s="134"/>
      <c r="H23" s="135"/>
      <c r="J23" s="64" t="s">
        <v>47</v>
      </c>
      <c r="K23" s="2">
        <v>178</v>
      </c>
    </row>
    <row r="24" spans="2:11" ht="19.5" customHeight="1">
      <c r="B24" s="111"/>
      <c r="C24" s="267" t="s">
        <v>63</v>
      </c>
      <c r="D24" s="253" t="s">
        <v>64</v>
      </c>
      <c r="E24" s="254"/>
      <c r="G24" s="134"/>
      <c r="H24" s="135"/>
      <c r="J24" s="65" t="s">
        <v>102</v>
      </c>
      <c r="K24" s="67">
        <v>7</v>
      </c>
    </row>
    <row r="25" spans="2:11" ht="19.5" customHeight="1" thickBot="1">
      <c r="B25" s="111"/>
      <c r="C25" s="267" t="s">
        <v>33</v>
      </c>
      <c r="D25" s="255">
        <v>178</v>
      </c>
      <c r="E25" s="256"/>
      <c r="G25" s="134"/>
      <c r="H25" s="135"/>
      <c r="J25" s="66" t="s">
        <v>44</v>
      </c>
      <c r="K25" s="21">
        <f>K23/(K22+2)*COS(K24*PI()/180)</f>
        <v>2.0076501703654013</v>
      </c>
    </row>
    <row r="26" spans="2:8" ht="19.5" customHeight="1" thickBot="1">
      <c r="B26" s="111"/>
      <c r="C26" s="267" t="s">
        <v>68</v>
      </c>
      <c r="D26" s="255">
        <v>168.5</v>
      </c>
      <c r="E26" s="256"/>
      <c r="G26" s="134"/>
      <c r="H26" s="135"/>
    </row>
    <row r="27" spans="2:13" ht="19.5" customHeight="1" thickBot="1">
      <c r="B27" s="112"/>
      <c r="C27" s="268" t="s">
        <v>39</v>
      </c>
      <c r="D27" s="257">
        <v>58</v>
      </c>
      <c r="E27" s="258"/>
      <c r="G27" s="134"/>
      <c r="H27" s="135"/>
      <c r="J27" s="108" t="s">
        <v>48</v>
      </c>
      <c r="K27" s="109"/>
      <c r="L27" s="90" t="s">
        <v>50</v>
      </c>
      <c r="M27" s="91"/>
    </row>
    <row r="28" spans="2:13" ht="19.5" customHeight="1" thickBot="1">
      <c r="B28" s="110" t="s">
        <v>43</v>
      </c>
      <c r="C28" s="263" t="s">
        <v>38</v>
      </c>
      <c r="D28" s="259">
        <f>L12</f>
        <v>10</v>
      </c>
      <c r="E28" s="260"/>
      <c r="G28" s="134"/>
      <c r="H28" s="135"/>
      <c r="J28" s="22" t="s">
        <v>49</v>
      </c>
      <c r="K28" s="23" t="s">
        <v>49</v>
      </c>
      <c r="L28" s="92"/>
      <c r="M28" s="93"/>
    </row>
    <row r="29" spans="2:13" ht="19.5" customHeight="1">
      <c r="B29" s="111"/>
      <c r="C29" s="264" t="s">
        <v>35</v>
      </c>
      <c r="D29" s="236">
        <f>J6</f>
        <v>173.29168997892194</v>
      </c>
      <c r="E29" s="237"/>
      <c r="G29" s="134"/>
      <c r="H29" s="135"/>
      <c r="J29" s="24">
        <v>0.2</v>
      </c>
      <c r="K29" s="25">
        <v>6.5</v>
      </c>
      <c r="L29" s="92"/>
      <c r="M29" s="93"/>
    </row>
    <row r="30" spans="2:13" ht="19.5" customHeight="1" thickBot="1">
      <c r="B30" s="111"/>
      <c r="C30" s="265" t="s">
        <v>62</v>
      </c>
      <c r="D30" s="236">
        <f>G3</f>
        <v>2.0150196509176967</v>
      </c>
      <c r="E30" s="237"/>
      <c r="G30" s="136"/>
      <c r="H30" s="137"/>
      <c r="J30" s="26">
        <v>0.3</v>
      </c>
      <c r="K30" s="27">
        <v>7</v>
      </c>
      <c r="L30" s="92"/>
      <c r="M30" s="93"/>
    </row>
    <row r="31" spans="2:13" ht="19.5" customHeight="1" thickBot="1">
      <c r="B31" s="111"/>
      <c r="C31" s="265" t="s">
        <v>41</v>
      </c>
      <c r="D31" s="236">
        <f>J14</f>
        <v>-0.3889239745316219</v>
      </c>
      <c r="E31" s="237"/>
      <c r="G31" s="57" t="s">
        <v>70</v>
      </c>
      <c r="H31" s="43">
        <v>3</v>
      </c>
      <c r="J31" s="26">
        <v>0.4</v>
      </c>
      <c r="K31" s="26">
        <v>8</v>
      </c>
      <c r="L31" s="94"/>
      <c r="M31" s="95"/>
    </row>
    <row r="32" spans="2:11" ht="19.5" customHeight="1">
      <c r="B32" s="111"/>
      <c r="C32" s="265" t="s">
        <v>66</v>
      </c>
      <c r="D32" s="236">
        <f>(D25-D26)/2</f>
        <v>4.75</v>
      </c>
      <c r="E32" s="237"/>
      <c r="G32" s="58" t="s">
        <v>28</v>
      </c>
      <c r="H32" s="44">
        <v>17</v>
      </c>
      <c r="J32" s="26">
        <v>0.5</v>
      </c>
      <c r="K32" s="27">
        <v>9</v>
      </c>
    </row>
    <row r="33" spans="2:11" ht="19.5" customHeight="1">
      <c r="B33" s="111"/>
      <c r="C33" s="265" t="s">
        <v>77</v>
      </c>
      <c r="D33" s="236">
        <f>G11</f>
        <v>2.3541550105390314</v>
      </c>
      <c r="E33" s="237"/>
      <c r="G33" s="58" t="s">
        <v>67</v>
      </c>
      <c r="H33" s="44">
        <v>59.5</v>
      </c>
      <c r="J33" s="26">
        <v>0.6</v>
      </c>
      <c r="K33" s="26">
        <v>10</v>
      </c>
    </row>
    <row r="34" spans="2:11" ht="19.5" customHeight="1">
      <c r="B34" s="111"/>
      <c r="C34" s="265" t="s">
        <v>78</v>
      </c>
      <c r="D34" s="236">
        <f>D32-D33</f>
        <v>2.3958449894609686</v>
      </c>
      <c r="E34" s="237"/>
      <c r="G34" s="58" t="s">
        <v>74</v>
      </c>
      <c r="H34" s="44">
        <v>53</v>
      </c>
      <c r="J34" s="27">
        <v>0.7</v>
      </c>
      <c r="K34" s="27">
        <v>11</v>
      </c>
    </row>
    <row r="35" spans="2:11" ht="19.5" customHeight="1" thickBot="1">
      <c r="B35" s="112"/>
      <c r="C35" s="266" t="s">
        <v>79</v>
      </c>
      <c r="D35" s="269">
        <f>J6*COS(J2)</f>
        <v>162.6975218764408</v>
      </c>
      <c r="E35" s="270"/>
      <c r="G35" s="59" t="s">
        <v>76</v>
      </c>
      <c r="H35" s="40">
        <f>2*((4*H33*H33)+(J16*J16))/(8*H33)</f>
        <v>59.966202563158085</v>
      </c>
      <c r="J35" s="26">
        <v>0.8</v>
      </c>
      <c r="K35" s="26">
        <v>12</v>
      </c>
    </row>
    <row r="36" spans="1:11" ht="19.5" customHeight="1">
      <c r="A36" s="61"/>
      <c r="B36" s="87"/>
      <c r="C36" s="107" t="s">
        <v>42</v>
      </c>
      <c r="D36" s="107"/>
      <c r="E36" s="107"/>
      <c r="G36" s="59" t="s">
        <v>68</v>
      </c>
      <c r="H36" s="40">
        <f>H35-2*H37</f>
        <v>46.033797436841915</v>
      </c>
      <c r="J36" s="27">
        <v>0.9</v>
      </c>
      <c r="K36" s="27">
        <v>14</v>
      </c>
    </row>
    <row r="37" spans="1:11" ht="19.5" customHeight="1" thickBot="1">
      <c r="A37" s="61"/>
      <c r="B37" s="87"/>
      <c r="C37" s="107"/>
      <c r="D37" s="107"/>
      <c r="E37" s="107"/>
      <c r="G37" s="60" t="s">
        <v>37</v>
      </c>
      <c r="H37" s="42">
        <f>(H35-H34)</f>
        <v>6.966202563158085</v>
      </c>
      <c r="J37" s="26">
        <v>1</v>
      </c>
      <c r="K37" s="26">
        <v>16</v>
      </c>
    </row>
    <row r="38" spans="2:11" ht="19.5" customHeight="1" thickBot="1">
      <c r="B38" s="61"/>
      <c r="C38" s="62"/>
      <c r="D38" s="63"/>
      <c r="E38" s="63"/>
      <c r="J38" s="26">
        <v>1.25</v>
      </c>
      <c r="K38" s="27">
        <v>18</v>
      </c>
    </row>
    <row r="39" spans="2:11" ht="19.5" customHeight="1">
      <c r="B39" s="61"/>
      <c r="C39" s="96" t="s">
        <v>108</v>
      </c>
      <c r="D39" s="97"/>
      <c r="E39" s="97"/>
      <c r="F39" s="97"/>
      <c r="G39" s="97"/>
      <c r="H39" s="98"/>
      <c r="J39" s="26">
        <v>1.5</v>
      </c>
      <c r="K39" s="26">
        <v>20</v>
      </c>
    </row>
    <row r="40" spans="2:11" ht="19.5" customHeight="1">
      <c r="B40" s="61"/>
      <c r="C40" s="99"/>
      <c r="D40" s="100"/>
      <c r="E40" s="100"/>
      <c r="F40" s="100"/>
      <c r="G40" s="100"/>
      <c r="H40" s="101"/>
      <c r="J40" s="27">
        <v>1.75</v>
      </c>
      <c r="K40" s="27">
        <v>22</v>
      </c>
    </row>
    <row r="41" spans="2:11" ht="19.5" customHeight="1">
      <c r="B41" s="61"/>
      <c r="C41" s="99"/>
      <c r="D41" s="100"/>
      <c r="E41" s="100"/>
      <c r="F41" s="100"/>
      <c r="G41" s="100"/>
      <c r="H41" s="101"/>
      <c r="J41" s="26">
        <v>2</v>
      </c>
      <c r="K41" s="27">
        <v>24</v>
      </c>
    </row>
    <row r="42" spans="3:11" ht="19.5" customHeight="1">
      <c r="C42" s="99"/>
      <c r="D42" s="100"/>
      <c r="E42" s="100"/>
      <c r="F42" s="100"/>
      <c r="G42" s="100"/>
      <c r="H42" s="101"/>
      <c r="J42" s="27">
        <v>2.25</v>
      </c>
      <c r="K42" s="26">
        <v>25</v>
      </c>
    </row>
    <row r="43" spans="3:11" ht="19.5" customHeight="1">
      <c r="C43" s="99"/>
      <c r="D43" s="100"/>
      <c r="E43" s="100"/>
      <c r="F43" s="100"/>
      <c r="G43" s="100"/>
      <c r="H43" s="101"/>
      <c r="J43" s="26">
        <v>2.5</v>
      </c>
      <c r="K43" s="27">
        <v>27</v>
      </c>
    </row>
    <row r="44" spans="3:11" ht="19.5" customHeight="1">
      <c r="C44" s="99"/>
      <c r="D44" s="100"/>
      <c r="E44" s="100"/>
      <c r="F44" s="100"/>
      <c r="G44" s="100"/>
      <c r="H44" s="101"/>
      <c r="J44" s="27">
        <v>2.75</v>
      </c>
      <c r="K44" s="32">
        <v>30</v>
      </c>
    </row>
    <row r="45" spans="3:11" ht="19.5" customHeight="1">
      <c r="C45" s="99"/>
      <c r="D45" s="100"/>
      <c r="E45" s="100"/>
      <c r="F45" s="100"/>
      <c r="G45" s="100"/>
      <c r="H45" s="101"/>
      <c r="J45" s="26">
        <v>3</v>
      </c>
      <c r="K45" s="26">
        <v>32</v>
      </c>
    </row>
    <row r="46" spans="3:11" ht="19.5" customHeight="1">
      <c r="C46" s="99"/>
      <c r="D46" s="100"/>
      <c r="E46" s="100"/>
      <c r="F46" s="100"/>
      <c r="G46" s="100"/>
      <c r="H46" s="101"/>
      <c r="J46" s="27">
        <v>3.25</v>
      </c>
      <c r="K46" s="32">
        <v>36</v>
      </c>
    </row>
    <row r="47" spans="3:11" ht="19.5" customHeight="1">
      <c r="C47" s="99"/>
      <c r="D47" s="100"/>
      <c r="E47" s="100"/>
      <c r="F47" s="100"/>
      <c r="G47" s="100"/>
      <c r="H47" s="101"/>
      <c r="J47" s="27">
        <v>3.5</v>
      </c>
      <c r="K47" s="27">
        <v>39</v>
      </c>
    </row>
    <row r="48" spans="3:11" ht="19.5" customHeight="1">
      <c r="C48" s="99"/>
      <c r="D48" s="100"/>
      <c r="E48" s="100"/>
      <c r="F48" s="100"/>
      <c r="G48" s="100"/>
      <c r="H48" s="101"/>
      <c r="J48" s="27">
        <v>3.75</v>
      </c>
      <c r="K48" s="26">
        <v>40</v>
      </c>
    </row>
    <row r="49" spans="3:11" ht="19.5" customHeight="1">
      <c r="C49" s="99"/>
      <c r="D49" s="100"/>
      <c r="E49" s="100"/>
      <c r="F49" s="100"/>
      <c r="G49" s="100"/>
      <c r="H49" s="101"/>
      <c r="J49" s="26">
        <v>4</v>
      </c>
      <c r="K49" s="32">
        <v>42</v>
      </c>
    </row>
    <row r="50" spans="3:11" ht="19.5" customHeight="1">
      <c r="C50" s="99"/>
      <c r="D50" s="100"/>
      <c r="E50" s="100"/>
      <c r="F50" s="100"/>
      <c r="G50" s="100"/>
      <c r="H50" s="101"/>
      <c r="J50" s="27">
        <v>4.5</v>
      </c>
      <c r="K50" s="27">
        <v>45</v>
      </c>
    </row>
    <row r="51" spans="3:11" ht="19.5" customHeight="1">
      <c r="C51" s="99"/>
      <c r="D51" s="100"/>
      <c r="E51" s="100"/>
      <c r="F51" s="100"/>
      <c r="G51" s="100"/>
      <c r="H51" s="101"/>
      <c r="J51" s="27">
        <v>4.75</v>
      </c>
      <c r="K51" s="26">
        <v>50</v>
      </c>
    </row>
    <row r="52" spans="3:11" ht="19.5" customHeight="1">
      <c r="C52" s="99"/>
      <c r="D52" s="100"/>
      <c r="E52" s="100"/>
      <c r="F52" s="100"/>
      <c r="G52" s="100"/>
      <c r="H52" s="101"/>
      <c r="J52" s="26">
        <v>5</v>
      </c>
      <c r="K52" s="27">
        <v>55</v>
      </c>
    </row>
    <row r="53" spans="3:11" ht="15">
      <c r="C53" s="99"/>
      <c r="D53" s="100"/>
      <c r="E53" s="100"/>
      <c r="F53" s="100"/>
      <c r="G53" s="100"/>
      <c r="H53" s="101"/>
      <c r="J53" s="27">
        <v>5.5</v>
      </c>
      <c r="K53" s="27">
        <v>60</v>
      </c>
    </row>
    <row r="54" spans="3:11" ht="15.75" thickBot="1">
      <c r="C54" s="102"/>
      <c r="D54" s="103"/>
      <c r="E54" s="103"/>
      <c r="F54" s="103"/>
      <c r="G54" s="103"/>
      <c r="H54" s="104"/>
      <c r="J54" s="33">
        <v>6</v>
      </c>
      <c r="K54" s="34">
        <v>65</v>
      </c>
    </row>
    <row r="55" ht="12.75"/>
  </sheetData>
  <sheetProtection password="FA84" sheet="1" objects="1" scenarios="1"/>
  <mergeCells count="29">
    <mergeCell ref="C17:D17"/>
    <mergeCell ref="J18:K21"/>
    <mergeCell ref="D24:E24"/>
    <mergeCell ref="G18:H21"/>
    <mergeCell ref="B18:E18"/>
    <mergeCell ref="D19:E19"/>
    <mergeCell ref="D21:E21"/>
    <mergeCell ref="D20:E20"/>
    <mergeCell ref="D23:E23"/>
    <mergeCell ref="G22:H30"/>
    <mergeCell ref="D31:E31"/>
    <mergeCell ref="D33:E33"/>
    <mergeCell ref="B19:B27"/>
    <mergeCell ref="D22:E22"/>
    <mergeCell ref="D26:E26"/>
    <mergeCell ref="D29:E29"/>
    <mergeCell ref="D25:E25"/>
    <mergeCell ref="D27:E27"/>
    <mergeCell ref="B28:B35"/>
    <mergeCell ref="L27:M31"/>
    <mergeCell ref="C39:H54"/>
    <mergeCell ref="D32:E32"/>
    <mergeCell ref="C37:E37"/>
    <mergeCell ref="C36:E36"/>
    <mergeCell ref="D34:E34"/>
    <mergeCell ref="D35:E35"/>
    <mergeCell ref="D28:E28"/>
    <mergeCell ref="J27:K27"/>
    <mergeCell ref="D30:E30"/>
  </mergeCells>
  <hyperlinks>
    <hyperlink ref="C17" r:id="rId1" display="www.muhendislikbilgileri.com"/>
  </hyperlinks>
  <printOptions/>
  <pageMargins left="0.75" right="0.75" top="1" bottom="1" header="0.5" footer="0.5"/>
  <pageSetup horizontalDpi="600" verticalDpi="600" orientation="portrait" paperSize="9" r:id="rId3"/>
  <ignoredErrors>
    <ignoredError sqref="D28" unlockedFormula="1"/>
  </ignoredErrors>
  <drawing r:id="rId2"/>
</worksheet>
</file>

<file path=xl/worksheets/sheet2.xml><?xml version="1.0" encoding="utf-8"?>
<worksheet xmlns="http://schemas.openxmlformats.org/spreadsheetml/2006/main" xmlns:r="http://schemas.openxmlformats.org/officeDocument/2006/relationships">
  <dimension ref="B1:M57"/>
  <sheetViews>
    <sheetView showGridLines="0" tabSelected="1" workbookViewId="0" topLeftCell="A32">
      <selection activeCell="C31" sqref="C31"/>
    </sheetView>
  </sheetViews>
  <sheetFormatPr defaultColWidth="9.00390625" defaultRowHeight="12.75" zeroHeight="1"/>
  <cols>
    <col min="1" max="1" width="3.125" style="5" customWidth="1"/>
    <col min="2" max="2" width="5.625" style="5" customWidth="1"/>
    <col min="3" max="3" width="33.00390625" style="3" customWidth="1"/>
    <col min="4" max="4" width="14.625" style="4" customWidth="1"/>
    <col min="5" max="5" width="15.125" style="5" customWidth="1"/>
    <col min="6" max="6" width="10.00390625" style="3" customWidth="1"/>
    <col min="7" max="7" width="20.375" style="6" customWidth="1"/>
    <col min="8" max="8" width="18.00390625" style="6" customWidth="1"/>
    <col min="9" max="9" width="3.875" style="3" customWidth="1"/>
    <col min="10" max="10" width="14.125" style="5" hidden="1" customWidth="1"/>
    <col min="11" max="11" width="14.625" style="5" hidden="1" customWidth="1"/>
    <col min="12" max="12" width="11.75390625" style="5" hidden="1" customWidth="1"/>
    <col min="13" max="13" width="16.00390625" style="7" hidden="1" customWidth="1"/>
    <col min="14" max="14" width="18.125" style="5" hidden="1" customWidth="1"/>
    <col min="15" max="16384" width="9.125" style="5" hidden="1" customWidth="1"/>
  </cols>
  <sheetData>
    <row r="1" ht="19.5" customHeight="1" hidden="1">
      <c r="E1" s="5" t="s">
        <v>90</v>
      </c>
    </row>
    <row r="2" spans="3:5" ht="19.5" customHeight="1" hidden="1">
      <c r="C2" s="3" t="s">
        <v>52</v>
      </c>
      <c r="D2" s="4">
        <f>D24</f>
        <v>15</v>
      </c>
      <c r="E2" s="5">
        <f>D2*PI()/180</f>
        <v>0.2617993877991494</v>
      </c>
    </row>
    <row r="3" spans="3:7" ht="19.5" customHeight="1" hidden="1">
      <c r="C3" s="3" t="s">
        <v>53</v>
      </c>
      <c r="D3" s="4">
        <f>D20</f>
        <v>6</v>
      </c>
      <c r="F3" s="3" t="s">
        <v>54</v>
      </c>
      <c r="G3" s="6">
        <f>D3/COS(E2)</f>
        <v>6.211657082460498</v>
      </c>
    </row>
    <row r="4" spans="3:10" ht="19.5" customHeight="1" hidden="1">
      <c r="C4" s="3" t="s">
        <v>2</v>
      </c>
      <c r="D4" s="4">
        <f>D21</f>
        <v>14</v>
      </c>
      <c r="I4" s="3" t="s">
        <v>109</v>
      </c>
      <c r="J4" s="5">
        <f>2*D25*D4/(D4+D5)</f>
        <v>88.2595744680851</v>
      </c>
    </row>
    <row r="5" spans="3:10" ht="19.5" customHeight="1" hidden="1">
      <c r="C5" s="3" t="s">
        <v>3</v>
      </c>
      <c r="D5" s="4">
        <f>E21</f>
        <v>80</v>
      </c>
      <c r="I5" s="3" t="s">
        <v>110</v>
      </c>
      <c r="J5" s="5">
        <f>2*D25*D5/(D4+D5)</f>
        <v>504.3404255319149</v>
      </c>
    </row>
    <row r="6" spans="3:13" ht="19.5" customHeight="1" hidden="1">
      <c r="C6" s="3" t="s">
        <v>19</v>
      </c>
      <c r="D6" s="4">
        <f>D26</f>
        <v>107</v>
      </c>
      <c r="F6" s="3" t="s">
        <v>4</v>
      </c>
      <c r="G6" s="6">
        <f>J6+2*D3</f>
        <v>98.96319915444697</v>
      </c>
      <c r="I6" s="3" t="s">
        <v>14</v>
      </c>
      <c r="J6" s="5">
        <f>D3*D4/COS(E2)</f>
        <v>86.96319915444697</v>
      </c>
      <c r="L6" s="5" t="s">
        <v>26</v>
      </c>
      <c r="M6" s="7">
        <f>D6-2*J11</f>
        <v>79.60000000000004</v>
      </c>
    </row>
    <row r="7" spans="3:13" ht="19.5" customHeight="1" hidden="1">
      <c r="C7" s="3" t="s">
        <v>20</v>
      </c>
      <c r="D7" s="4">
        <f>E26</f>
        <v>510</v>
      </c>
      <c r="F7" s="3" t="s">
        <v>5</v>
      </c>
      <c r="G7" s="6">
        <f>J7+2*D4</f>
        <v>524.9325665968399</v>
      </c>
      <c r="I7" s="3" t="s">
        <v>15</v>
      </c>
      <c r="J7" s="5">
        <f>D3*D5/COS(E2)</f>
        <v>496.9325665968399</v>
      </c>
      <c r="L7" s="5" t="s">
        <v>27</v>
      </c>
      <c r="M7" s="7">
        <f>D7-2*J11</f>
        <v>482.6</v>
      </c>
    </row>
    <row r="8" spans="3:11" ht="19.5" customHeight="1" hidden="1">
      <c r="C8" s="3" t="s">
        <v>12</v>
      </c>
      <c r="D8" s="4">
        <f>D25</f>
        <v>296.3</v>
      </c>
      <c r="F8" s="3" t="s">
        <v>6</v>
      </c>
      <c r="G8" s="6">
        <f>(D3*(D4+D5)/2)/COS(E2)</f>
        <v>291.9478828756434</v>
      </c>
      <c r="I8" s="3" t="s">
        <v>88</v>
      </c>
      <c r="J8" s="5">
        <f>(2*D10*((G13+G14)/(D21+E21))+J9)</f>
        <v>0.021812421962100863</v>
      </c>
      <c r="K8" s="5">
        <f>ROUND(J8,4)</f>
        <v>0.0218</v>
      </c>
    </row>
    <row r="9" spans="3:10" ht="19.5" customHeight="1" hidden="1">
      <c r="C9" s="8" t="s">
        <v>85</v>
      </c>
      <c r="D9" s="4">
        <f>D22</f>
        <v>20</v>
      </c>
      <c r="E9" s="5">
        <f>D9*PI()/180</f>
        <v>0.3490658503988659</v>
      </c>
      <c r="F9" s="3" t="s">
        <v>83</v>
      </c>
      <c r="G9" s="9">
        <f>ATAN(D10/COS(E2))</f>
        <v>0.36035632401741163</v>
      </c>
      <c r="I9" s="3" t="s">
        <v>89</v>
      </c>
      <c r="J9" s="10">
        <f>TAN(G9)-G9</f>
        <v>0.01645338989666545</v>
      </c>
    </row>
    <row r="10" spans="3:11" ht="19.5" customHeight="1" hidden="1">
      <c r="C10" s="8" t="s">
        <v>86</v>
      </c>
      <c r="D10" s="11">
        <f>TAN(E9)</f>
        <v>0.36397023426620234</v>
      </c>
      <c r="F10" s="3" t="s">
        <v>7</v>
      </c>
      <c r="G10" s="9">
        <f>(D8-G8)/D3</f>
        <v>0.7253528540594326</v>
      </c>
      <c r="I10" s="3" t="s">
        <v>91</v>
      </c>
      <c r="K10" s="5" t="s">
        <v>92</v>
      </c>
    </row>
    <row r="11" spans="3:10" ht="19.5" customHeight="1" hidden="1">
      <c r="C11" s="3" t="s">
        <v>87</v>
      </c>
      <c r="D11" s="12">
        <f>D10-(D9*3.14/180)</f>
        <v>0.015081345377313427</v>
      </c>
      <c r="F11" s="3" t="s">
        <v>8</v>
      </c>
      <c r="G11" s="13">
        <f>(D6-J6)/2</f>
        <v>10.018400422776516</v>
      </c>
      <c r="I11" s="3" t="s">
        <v>13</v>
      </c>
      <c r="J11" s="5">
        <f>(2.25+G10-(G13+G14))*D3</f>
        <v>13.699999999999983</v>
      </c>
    </row>
    <row r="12" spans="3:12" ht="19.5" customHeight="1" hidden="1">
      <c r="C12" s="8" t="s">
        <v>23</v>
      </c>
      <c r="D12" s="12">
        <f>COS(D9*3.14/180)</f>
        <v>0.9397531304731841</v>
      </c>
      <c r="F12" s="3" t="s">
        <v>9</v>
      </c>
      <c r="G12" s="13">
        <f>(D7-J7)/2</f>
        <v>6.533716701580062</v>
      </c>
      <c r="I12" s="3" t="s">
        <v>16</v>
      </c>
      <c r="J12" s="14">
        <f>0.5+(D4*D9)/180</f>
        <v>2.0555555555555554</v>
      </c>
      <c r="L12" s="14">
        <f>ROUND(J12,0)</f>
        <v>2</v>
      </c>
    </row>
    <row r="13" spans="3:12" ht="19.5" customHeight="1" hidden="1">
      <c r="C13" s="8" t="s">
        <v>24</v>
      </c>
      <c r="D13" s="12">
        <f>SIN(D9*3.14/180)</f>
        <v>0.34185384854620343</v>
      </c>
      <c r="F13" s="3" t="s">
        <v>10</v>
      </c>
      <c r="G13" s="15">
        <f>1+G10-(G12/D3)</f>
        <v>0.6364000704627555</v>
      </c>
      <c r="I13" s="3" t="s">
        <v>17</v>
      </c>
      <c r="J13" s="14">
        <f>0.5+(D5*D9)/180</f>
        <v>9.38888888888889</v>
      </c>
      <c r="L13" s="14">
        <f>ROUND(J13,0)</f>
        <v>9</v>
      </c>
    </row>
    <row r="14" spans="3:10" ht="19.5" customHeight="1" hidden="1">
      <c r="C14" s="3" t="s">
        <v>107</v>
      </c>
      <c r="D14" s="4">
        <f>COS(PI()*D24/180)</f>
        <v>0.9659258262890683</v>
      </c>
      <c r="F14" s="3" t="s">
        <v>11</v>
      </c>
      <c r="G14" s="15">
        <f>1+G10-(G11/D3)</f>
        <v>0.05561945026334647</v>
      </c>
      <c r="I14" s="3" t="s">
        <v>18</v>
      </c>
      <c r="J14" s="16">
        <f>((PI()*(L12-0.5))+D4*D11)*D12*D3+(2*D3*G13*D13)</f>
        <v>30.372073826102824</v>
      </c>
    </row>
    <row r="15" spans="3:10" ht="19.5" customHeight="1" hidden="1">
      <c r="C15" s="3" t="s">
        <v>44</v>
      </c>
      <c r="D15" s="4">
        <f>E26/(D5+2)</f>
        <v>6.219512195121951</v>
      </c>
      <c r="I15" s="3" t="s">
        <v>25</v>
      </c>
      <c r="J15" s="17">
        <f>((PI()*(L13-0.5))+D5*D11)*D12*D3+(2*D3*G14*D13)</f>
        <v>157.59947868696665</v>
      </c>
    </row>
    <row r="16" ht="19.5" customHeight="1" hidden="1"/>
    <row r="17" spans="3:5" ht="31.5" customHeight="1" thickBot="1">
      <c r="C17" s="210" t="s">
        <v>111</v>
      </c>
      <c r="D17" s="211"/>
      <c r="E17" s="211"/>
    </row>
    <row r="18" spans="2:8" ht="32.25" customHeight="1" thickBot="1">
      <c r="B18" s="127" t="s">
        <v>101</v>
      </c>
      <c r="C18" s="128"/>
      <c r="D18" s="128"/>
      <c r="E18" s="129"/>
      <c r="G18" s="121" t="s">
        <v>103</v>
      </c>
      <c r="H18" s="122"/>
    </row>
    <row r="19" spans="2:8" ht="19.5" customHeight="1">
      <c r="B19" s="110" t="s">
        <v>40</v>
      </c>
      <c r="C19" s="18"/>
      <c r="D19" s="84" t="s">
        <v>29</v>
      </c>
      <c r="E19" s="85" t="s">
        <v>30</v>
      </c>
      <c r="G19" s="123"/>
      <c r="H19" s="124"/>
    </row>
    <row r="20" spans="2:9" ht="19.5" customHeight="1">
      <c r="B20" s="111"/>
      <c r="C20" s="212" t="s">
        <v>56</v>
      </c>
      <c r="D20" s="214">
        <v>6</v>
      </c>
      <c r="E20" s="215"/>
      <c r="G20" s="123"/>
      <c r="H20" s="124"/>
      <c r="I20" s="6"/>
    </row>
    <row r="21" spans="2:8" ht="19.5" customHeight="1">
      <c r="B21" s="111"/>
      <c r="C21" s="212" t="s">
        <v>28</v>
      </c>
      <c r="D21" s="216">
        <v>14</v>
      </c>
      <c r="E21" s="217">
        <v>80</v>
      </c>
      <c r="G21" s="158"/>
      <c r="H21" s="159"/>
    </row>
    <row r="22" spans="2:8" ht="19.5" customHeight="1">
      <c r="B22" s="111"/>
      <c r="C22" s="212" t="s">
        <v>31</v>
      </c>
      <c r="D22" s="218">
        <v>20</v>
      </c>
      <c r="E22" s="219"/>
      <c r="G22" s="19" t="s">
        <v>46</v>
      </c>
      <c r="H22" s="1">
        <v>99</v>
      </c>
    </row>
    <row r="23" spans="2:8" ht="19.5" customHeight="1">
      <c r="B23" s="111"/>
      <c r="C23" s="212" t="s">
        <v>63</v>
      </c>
      <c r="D23" s="220" t="s">
        <v>64</v>
      </c>
      <c r="E23" s="221" t="s">
        <v>65</v>
      </c>
      <c r="G23" s="19" t="s">
        <v>47</v>
      </c>
      <c r="H23" s="2">
        <v>212.821</v>
      </c>
    </row>
    <row r="24" spans="2:8" ht="19.5" customHeight="1" thickBot="1">
      <c r="B24" s="111"/>
      <c r="C24" s="212" t="s">
        <v>51</v>
      </c>
      <c r="D24" s="222">
        <v>15</v>
      </c>
      <c r="E24" s="223"/>
      <c r="G24" s="68" t="s">
        <v>105</v>
      </c>
      <c r="H24" s="86">
        <v>15.2185</v>
      </c>
    </row>
    <row r="25" spans="2:8" ht="19.5" customHeight="1" thickBot="1">
      <c r="B25" s="111"/>
      <c r="C25" s="212" t="s">
        <v>32</v>
      </c>
      <c r="D25" s="214">
        <v>296.3</v>
      </c>
      <c r="E25" s="215"/>
      <c r="G25" s="20" t="s">
        <v>44</v>
      </c>
      <c r="H25" s="21">
        <f>H23*COS(H24*PI()/180)/(H22+2)</f>
        <v>2.033245028083135</v>
      </c>
    </row>
    <row r="26" spans="2:5" ht="19.5" customHeight="1" thickBot="1">
      <c r="B26" s="112"/>
      <c r="C26" s="213" t="s">
        <v>33</v>
      </c>
      <c r="D26" s="224">
        <v>107</v>
      </c>
      <c r="E26" s="225">
        <v>510</v>
      </c>
    </row>
    <row r="27" spans="2:8" ht="19.5" customHeight="1" thickBot="1">
      <c r="B27" s="155" t="s">
        <v>99</v>
      </c>
      <c r="C27" s="240" t="s">
        <v>35</v>
      </c>
      <c r="D27" s="226">
        <f>J6</f>
        <v>86.96319915444697</v>
      </c>
      <c r="E27" s="227">
        <f>J7</f>
        <v>496.9325665968399</v>
      </c>
      <c r="G27" s="160" t="s">
        <v>48</v>
      </c>
      <c r="H27" s="161"/>
    </row>
    <row r="28" spans="2:8" ht="19.5" customHeight="1" thickBot="1">
      <c r="B28" s="156"/>
      <c r="C28" s="241" t="s">
        <v>79</v>
      </c>
      <c r="D28" s="228">
        <f>J6*COS(G9)</f>
        <v>81.37766075031368</v>
      </c>
      <c r="E28" s="229">
        <f>J7*COS(G9)</f>
        <v>465.01520428750683</v>
      </c>
      <c r="G28" s="22" t="s">
        <v>49</v>
      </c>
      <c r="H28" s="23" t="s">
        <v>49</v>
      </c>
    </row>
    <row r="29" spans="2:8" ht="19.5" customHeight="1">
      <c r="B29" s="156"/>
      <c r="C29" s="241" t="s">
        <v>84</v>
      </c>
      <c r="D29" s="228">
        <f>J4</f>
        <v>88.2595744680851</v>
      </c>
      <c r="E29" s="229">
        <f>J5</f>
        <v>504.3404255319149</v>
      </c>
      <c r="G29" s="24">
        <v>0.2</v>
      </c>
      <c r="H29" s="25">
        <v>6.5</v>
      </c>
    </row>
    <row r="30" spans="2:8" ht="19.5" customHeight="1">
      <c r="B30" s="156"/>
      <c r="C30" s="242" t="s">
        <v>36</v>
      </c>
      <c r="D30" s="230">
        <f>M6</f>
        <v>79.60000000000004</v>
      </c>
      <c r="E30" s="231">
        <f>M7</f>
        <v>482.6</v>
      </c>
      <c r="G30" s="26">
        <v>0.3</v>
      </c>
      <c r="H30" s="27">
        <v>7</v>
      </c>
    </row>
    <row r="31" spans="2:8" ht="19.5" customHeight="1">
      <c r="B31" s="156"/>
      <c r="C31" s="242" t="s">
        <v>37</v>
      </c>
      <c r="D31" s="232">
        <f>J11</f>
        <v>13.699999999999983</v>
      </c>
      <c r="E31" s="233"/>
      <c r="G31" s="26">
        <v>0.4</v>
      </c>
      <c r="H31" s="26">
        <v>8</v>
      </c>
    </row>
    <row r="32" spans="2:8" ht="19.5" customHeight="1">
      <c r="B32" s="156"/>
      <c r="C32" s="242" t="s">
        <v>81</v>
      </c>
      <c r="D32" s="234">
        <f>G11</f>
        <v>10.018400422776516</v>
      </c>
      <c r="E32" s="235">
        <f>G12</f>
        <v>6.533716701580062</v>
      </c>
      <c r="G32" s="26">
        <v>0.5</v>
      </c>
      <c r="H32" s="27">
        <v>9</v>
      </c>
    </row>
    <row r="33" spans="2:8" ht="19.5" customHeight="1">
      <c r="B33" s="156"/>
      <c r="C33" s="242" t="s">
        <v>82</v>
      </c>
      <c r="D33" s="234">
        <f>D31-D32</f>
        <v>3.6815995772234675</v>
      </c>
      <c r="E33" s="235">
        <f>D31-E32</f>
        <v>7.166283298419922</v>
      </c>
      <c r="G33" s="26">
        <v>0.6</v>
      </c>
      <c r="H33" s="26">
        <v>10</v>
      </c>
    </row>
    <row r="34" spans="2:8" ht="19.5" customHeight="1">
      <c r="B34" s="156"/>
      <c r="C34" s="242" t="s">
        <v>57</v>
      </c>
      <c r="D34" s="236">
        <f>G3</f>
        <v>6.211657082460498</v>
      </c>
      <c r="E34" s="237"/>
      <c r="G34" s="27">
        <v>0.7</v>
      </c>
      <c r="H34" s="27">
        <v>11</v>
      </c>
    </row>
    <row r="35" spans="2:8" ht="19.5" customHeight="1">
      <c r="B35" s="156"/>
      <c r="C35" s="242" t="s">
        <v>41</v>
      </c>
      <c r="D35" s="230">
        <f>G13</f>
        <v>0.6364000704627555</v>
      </c>
      <c r="E35" s="231">
        <f>G14</f>
        <v>0.05561945026334647</v>
      </c>
      <c r="G35" s="26">
        <v>0.8</v>
      </c>
      <c r="H35" s="26">
        <v>12</v>
      </c>
    </row>
    <row r="36" spans="2:8" ht="19.5" customHeight="1">
      <c r="B36" s="156"/>
      <c r="C36" s="242" t="s">
        <v>38</v>
      </c>
      <c r="D36" s="230">
        <f>L12</f>
        <v>2</v>
      </c>
      <c r="E36" s="231">
        <f>L13</f>
        <v>9</v>
      </c>
      <c r="G36" s="27">
        <v>0.9</v>
      </c>
      <c r="H36" s="27">
        <v>14</v>
      </c>
    </row>
    <row r="37" spans="2:8" ht="19.5" customHeight="1" thickBot="1">
      <c r="B37" s="157"/>
      <c r="C37" s="243" t="s">
        <v>39</v>
      </c>
      <c r="D37" s="238">
        <f>J14</f>
        <v>30.372073826102824</v>
      </c>
      <c r="E37" s="239">
        <f>J15</f>
        <v>157.59947868696665</v>
      </c>
      <c r="G37" s="26">
        <v>1</v>
      </c>
      <c r="H37" s="26">
        <v>16</v>
      </c>
    </row>
    <row r="38" spans="2:8" ht="19.5" customHeight="1">
      <c r="B38" s="154" t="s">
        <v>42</v>
      </c>
      <c r="C38" s="154"/>
      <c r="D38" s="154"/>
      <c r="E38" s="154"/>
      <c r="G38" s="26">
        <v>1.25</v>
      </c>
      <c r="H38" s="27">
        <v>18</v>
      </c>
    </row>
    <row r="39" spans="2:8" ht="19.5" customHeight="1" thickBot="1">
      <c r="B39" s="28"/>
      <c r="C39" s="153"/>
      <c r="D39" s="153"/>
      <c r="E39" s="153"/>
      <c r="G39" s="26">
        <v>1.5</v>
      </c>
      <c r="H39" s="26">
        <v>20</v>
      </c>
    </row>
    <row r="40" spans="2:8" ht="19.5" customHeight="1">
      <c r="B40" s="28"/>
      <c r="C40" s="29"/>
      <c r="D40" s="147" t="s">
        <v>50</v>
      </c>
      <c r="E40" s="148"/>
      <c r="G40" s="27">
        <v>1.75</v>
      </c>
      <c r="H40" s="27">
        <v>22</v>
      </c>
    </row>
    <row r="41" spans="2:8" ht="19.5" customHeight="1">
      <c r="B41" s="28"/>
      <c r="C41" s="31"/>
      <c r="D41" s="149"/>
      <c r="E41" s="150"/>
      <c r="G41" s="26">
        <v>2</v>
      </c>
      <c r="H41" s="27">
        <v>24</v>
      </c>
    </row>
    <row r="42" spans="2:8" ht="19.5" customHeight="1">
      <c r="B42" s="28"/>
      <c r="C42" s="31"/>
      <c r="D42" s="149"/>
      <c r="E42" s="150"/>
      <c r="G42" s="27">
        <v>2.25</v>
      </c>
      <c r="H42" s="26">
        <v>25</v>
      </c>
    </row>
    <row r="43" spans="4:8" ht="19.5" customHeight="1">
      <c r="D43" s="149"/>
      <c r="E43" s="150"/>
      <c r="G43" s="26">
        <v>2.5</v>
      </c>
      <c r="H43" s="27">
        <v>27</v>
      </c>
    </row>
    <row r="44" spans="4:8" ht="19.5" customHeight="1" thickBot="1">
      <c r="D44" s="151"/>
      <c r="E44" s="152"/>
      <c r="G44" s="27">
        <v>2.75</v>
      </c>
      <c r="H44" s="32">
        <v>30</v>
      </c>
    </row>
    <row r="45" spans="7:8" ht="19.5" customHeight="1" thickBot="1">
      <c r="G45" s="26">
        <v>3</v>
      </c>
      <c r="H45" s="26">
        <v>32</v>
      </c>
    </row>
    <row r="46" spans="3:8" ht="19.5" customHeight="1">
      <c r="C46" s="138" t="s">
        <v>95</v>
      </c>
      <c r="D46" s="139"/>
      <c r="E46" s="140"/>
      <c r="G46" s="27">
        <v>3.25</v>
      </c>
      <c r="H46" s="32">
        <v>36</v>
      </c>
    </row>
    <row r="47" spans="3:8" ht="19.5" customHeight="1">
      <c r="C47" s="141"/>
      <c r="D47" s="142"/>
      <c r="E47" s="143"/>
      <c r="G47" s="27">
        <v>3.5</v>
      </c>
      <c r="H47" s="27">
        <v>39</v>
      </c>
    </row>
    <row r="48" spans="3:8" ht="19.5" customHeight="1">
      <c r="C48" s="141"/>
      <c r="D48" s="142"/>
      <c r="E48" s="143"/>
      <c r="G48" s="27">
        <v>3.75</v>
      </c>
      <c r="H48" s="26">
        <v>40</v>
      </c>
    </row>
    <row r="49" spans="3:8" ht="19.5" customHeight="1">
      <c r="C49" s="141"/>
      <c r="D49" s="142"/>
      <c r="E49" s="143"/>
      <c r="G49" s="26">
        <v>4</v>
      </c>
      <c r="H49" s="32">
        <v>42</v>
      </c>
    </row>
    <row r="50" spans="3:8" ht="19.5" customHeight="1">
      <c r="C50" s="141"/>
      <c r="D50" s="142"/>
      <c r="E50" s="143"/>
      <c r="G50" s="27">
        <v>4.5</v>
      </c>
      <c r="H50" s="27">
        <v>45</v>
      </c>
    </row>
    <row r="51" spans="3:8" ht="19.5" customHeight="1">
      <c r="C51" s="141"/>
      <c r="D51" s="142"/>
      <c r="E51" s="143"/>
      <c r="G51" s="27">
        <v>4.75</v>
      </c>
      <c r="H51" s="26">
        <v>50</v>
      </c>
    </row>
    <row r="52" spans="3:8" ht="19.5" customHeight="1">
      <c r="C52" s="141"/>
      <c r="D52" s="142"/>
      <c r="E52" s="143"/>
      <c r="G52" s="26">
        <v>5</v>
      </c>
      <c r="H52" s="27">
        <v>55</v>
      </c>
    </row>
    <row r="53" spans="3:8" ht="19.5" customHeight="1" thickBot="1">
      <c r="C53" s="144"/>
      <c r="D53" s="145"/>
      <c r="E53" s="146"/>
      <c r="G53" s="27">
        <v>5.5</v>
      </c>
      <c r="H53" s="27">
        <v>60</v>
      </c>
    </row>
    <row r="54" spans="2:8" ht="15.75" thickBot="1">
      <c r="B54" s="28"/>
      <c r="C54" s="35"/>
      <c r="D54" s="35"/>
      <c r="E54" s="35"/>
      <c r="F54" s="31"/>
      <c r="G54" s="33">
        <v>6</v>
      </c>
      <c r="H54" s="34">
        <v>65</v>
      </c>
    </row>
    <row r="55" spans="2:6" ht="12.75">
      <c r="B55" s="28"/>
      <c r="C55" s="35"/>
      <c r="D55" s="35"/>
      <c r="E55" s="35"/>
      <c r="F55" s="31"/>
    </row>
    <row r="56" spans="2:6" ht="12.75" hidden="1">
      <c r="B56" s="28"/>
      <c r="C56" s="35"/>
      <c r="D56" s="35"/>
      <c r="E56" s="35"/>
      <c r="F56" s="31"/>
    </row>
    <row r="57" spans="2:6" ht="12.75" hidden="1">
      <c r="B57" s="28"/>
      <c r="C57" s="35"/>
      <c r="D57" s="35"/>
      <c r="E57" s="35"/>
      <c r="F57" s="31"/>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sheetData>
  <sheetProtection password="FA84" sheet="1" objects="1" scenarios="1"/>
  <mergeCells count="16">
    <mergeCell ref="C17:E17"/>
    <mergeCell ref="G18:H21"/>
    <mergeCell ref="B18:E18"/>
    <mergeCell ref="B19:B26"/>
    <mergeCell ref="D31:E31"/>
    <mergeCell ref="D20:E20"/>
    <mergeCell ref="D22:E22"/>
    <mergeCell ref="D25:E25"/>
    <mergeCell ref="D24:E24"/>
    <mergeCell ref="G27:H27"/>
    <mergeCell ref="C46:E53"/>
    <mergeCell ref="D34:E34"/>
    <mergeCell ref="D40:E44"/>
    <mergeCell ref="C39:E39"/>
    <mergeCell ref="B38:E38"/>
    <mergeCell ref="B27:B37"/>
  </mergeCells>
  <hyperlinks>
    <hyperlink ref="C17" r:id="rId1" display="www.muhendislikbilgileri.com"/>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B2:M53"/>
  <sheetViews>
    <sheetView showGridLines="0" workbookViewId="0" topLeftCell="A17">
      <selection activeCell="C32" sqref="C32"/>
    </sheetView>
  </sheetViews>
  <sheetFormatPr defaultColWidth="9.00390625" defaultRowHeight="12.75" zeroHeight="1"/>
  <cols>
    <col min="1" max="1" width="3.125" style="5" customWidth="1"/>
    <col min="2" max="2" width="5.625" style="5" customWidth="1"/>
    <col min="3" max="3" width="31.75390625" style="3" customWidth="1"/>
    <col min="4" max="4" width="14.625" style="4" customWidth="1"/>
    <col min="5" max="5" width="15.125" style="5" customWidth="1"/>
    <col min="6" max="6" width="9.125" style="3" customWidth="1"/>
    <col min="7" max="7" width="24.25390625" style="6" customWidth="1"/>
    <col min="8" max="8" width="25.75390625" style="6" customWidth="1"/>
    <col min="9" max="9" width="8.625" style="3" customWidth="1"/>
    <col min="10" max="10" width="24.75390625" style="5" customWidth="1"/>
    <col min="11" max="11" width="15.25390625" style="5" customWidth="1"/>
    <col min="12" max="12" width="18.75390625" style="5" customWidth="1"/>
    <col min="13" max="13" width="9.125" style="7" customWidth="1"/>
    <col min="14" max="14" width="3.875" style="5" customWidth="1"/>
    <col min="15" max="16384" width="0" style="5" hidden="1" customWidth="1"/>
  </cols>
  <sheetData>
    <row r="1" ht="19.5" customHeight="1" hidden="1"/>
    <row r="2" spans="9:10" ht="19.5" customHeight="1" hidden="1">
      <c r="I2" s="3" t="s">
        <v>94</v>
      </c>
      <c r="J2" s="5">
        <f>ATAN(D10/COS(E2))</f>
        <v>0.3490658503988659</v>
      </c>
    </row>
    <row r="3" spans="3:4" ht="19.5" customHeight="1" hidden="1">
      <c r="C3" s="3" t="s">
        <v>1</v>
      </c>
      <c r="D3" s="4">
        <f>D20</f>
        <v>2.5</v>
      </c>
    </row>
    <row r="4" spans="3:4" ht="19.5" customHeight="1" hidden="1">
      <c r="C4" s="3" t="s">
        <v>2</v>
      </c>
      <c r="D4" s="4">
        <f>D21</f>
        <v>18</v>
      </c>
    </row>
    <row r="5" ht="19.5" customHeight="1" hidden="1"/>
    <row r="6" spans="3:13" ht="19.5" customHeight="1" hidden="1" thickBot="1">
      <c r="C6" s="3" t="s">
        <v>19</v>
      </c>
      <c r="D6" s="4">
        <f>D23</f>
        <v>51.2</v>
      </c>
      <c r="F6" s="3" t="s">
        <v>4</v>
      </c>
      <c r="G6" s="6">
        <f>J6+2*D3</f>
        <v>50</v>
      </c>
      <c r="I6" s="3" t="s">
        <v>14</v>
      </c>
      <c r="J6" s="5">
        <f>D3*D4/COS(E2)</f>
        <v>45</v>
      </c>
      <c r="L6" s="5" t="s">
        <v>26</v>
      </c>
      <c r="M6" s="7">
        <f>J6-2.5*D3</f>
        <v>38.75</v>
      </c>
    </row>
    <row r="7" ht="19.5" customHeight="1" hidden="1"/>
    <row r="8" ht="19.5" customHeight="1" hidden="1"/>
    <row r="9" spans="3:4" ht="19.5" customHeight="1" hidden="1">
      <c r="C9" s="8" t="s">
        <v>0</v>
      </c>
      <c r="D9" s="4">
        <f>D22</f>
        <v>20</v>
      </c>
    </row>
    <row r="10" spans="3:7" ht="19.5" customHeight="1" hidden="1">
      <c r="C10" s="8" t="s">
        <v>22</v>
      </c>
      <c r="D10" s="11">
        <f>TAN(D9*PI()/180)</f>
        <v>0.36397023426620234</v>
      </c>
      <c r="F10" s="3" t="s">
        <v>7</v>
      </c>
      <c r="G10" s="6">
        <f>(D8-G8)/D3</f>
        <v>0</v>
      </c>
    </row>
    <row r="11" spans="3:10" ht="19.5" customHeight="1" hidden="1">
      <c r="C11" s="3" t="s">
        <v>21</v>
      </c>
      <c r="D11" s="12">
        <f>D10-(D9*PI()/180)</f>
        <v>0.014904383867336446</v>
      </c>
      <c r="F11" s="3" t="s">
        <v>8</v>
      </c>
      <c r="G11" s="6">
        <f>(D6-J6)/2</f>
        <v>3.1000000000000014</v>
      </c>
      <c r="I11" s="3" t="s">
        <v>13</v>
      </c>
      <c r="J11" s="5">
        <f>(2.25+G10-(G13+G14))*D3</f>
        <v>3.125</v>
      </c>
    </row>
    <row r="12" spans="3:12" ht="19.5" customHeight="1" hidden="1">
      <c r="C12" s="8" t="s">
        <v>23</v>
      </c>
      <c r="D12" s="12">
        <f>COS(D9*3.14/180)</f>
        <v>0.9397531304731841</v>
      </c>
      <c r="I12" s="3" t="s">
        <v>16</v>
      </c>
      <c r="J12" s="14">
        <f>0.5+(D4*D9)/180</f>
        <v>2.5</v>
      </c>
      <c r="L12" s="14">
        <f>ROUND(J12,0)</f>
        <v>3</v>
      </c>
    </row>
    <row r="13" spans="3:12" ht="19.5" customHeight="1" hidden="1">
      <c r="C13" s="8" t="s">
        <v>24</v>
      </c>
      <c r="D13" s="12">
        <f>SIN(D9*3.14/180)</f>
        <v>0.34185384854620343</v>
      </c>
      <c r="F13" s="3" t="s">
        <v>10</v>
      </c>
      <c r="G13" s="6">
        <f>1+G10-(G12/D3)</f>
        <v>1</v>
      </c>
      <c r="J13" s="14"/>
      <c r="L13" s="14"/>
    </row>
    <row r="14" spans="9:10" ht="19.5" customHeight="1" hidden="1">
      <c r="I14" s="6" t="s">
        <v>58</v>
      </c>
      <c r="J14" s="7">
        <f>(D25-((PI()*(L12-0.5))+(D4*D11))*D12*D3)/(2*D3*D13)</f>
        <v>0.24437377018902182</v>
      </c>
    </row>
    <row r="15" spans="3:10" ht="19.5" customHeight="1" hidden="1">
      <c r="C15" s="3" t="s">
        <v>44</v>
      </c>
      <c r="D15" s="4">
        <f>E25/(D5+2)</f>
        <v>0</v>
      </c>
      <c r="I15" s="6"/>
      <c r="J15" s="7">
        <f>(D25-(D20*D12*(PI()*(D26-0.5)+D21*D11))/(2*D20*D13))</f>
        <v>8.335989700255425</v>
      </c>
    </row>
    <row r="16" spans="9:10" ht="19.5" customHeight="1" hidden="1" thickBot="1">
      <c r="I16" s="39" t="s">
        <v>69</v>
      </c>
      <c r="J16" s="6">
        <f>(PI()*H31*(H32+2))/H32</f>
        <v>8.726646259971648</v>
      </c>
    </row>
    <row r="17" spans="3:11" ht="29.25" customHeight="1" thickBot="1">
      <c r="C17" s="210" t="s">
        <v>111</v>
      </c>
      <c r="D17" s="262"/>
      <c r="E17" s="45" t="s">
        <v>71</v>
      </c>
      <c r="H17" s="45" t="s">
        <v>72</v>
      </c>
      <c r="K17" s="45" t="s">
        <v>73</v>
      </c>
    </row>
    <row r="18" spans="2:11" ht="21" customHeight="1" thickBot="1">
      <c r="B18" s="127" t="s">
        <v>34</v>
      </c>
      <c r="C18" s="128"/>
      <c r="D18" s="128"/>
      <c r="E18" s="129"/>
      <c r="G18" s="147" t="s">
        <v>80</v>
      </c>
      <c r="H18" s="148"/>
      <c r="J18" s="182" t="s">
        <v>45</v>
      </c>
      <c r="K18" s="183"/>
    </row>
    <row r="19" spans="2:11" ht="19.5" customHeight="1">
      <c r="B19" s="177" t="s">
        <v>40</v>
      </c>
      <c r="C19" s="88"/>
      <c r="D19" s="130" t="s">
        <v>96</v>
      </c>
      <c r="E19" s="131"/>
      <c r="G19" s="149"/>
      <c r="H19" s="150"/>
      <c r="J19" s="184"/>
      <c r="K19" s="185"/>
    </row>
    <row r="20" spans="2:11" ht="19.5" customHeight="1">
      <c r="B20" s="178"/>
      <c r="C20" s="82" t="s">
        <v>61</v>
      </c>
      <c r="D20" s="113">
        <v>2.5</v>
      </c>
      <c r="E20" s="114"/>
      <c r="G20" s="149"/>
      <c r="H20" s="150"/>
      <c r="I20" s="6"/>
      <c r="J20" s="184"/>
      <c r="K20" s="185"/>
    </row>
    <row r="21" spans="2:11" ht="19.5" customHeight="1" thickBot="1">
      <c r="B21" s="178"/>
      <c r="C21" s="212" t="s">
        <v>28</v>
      </c>
      <c r="D21" s="253">
        <v>18</v>
      </c>
      <c r="E21" s="254"/>
      <c r="G21" s="151"/>
      <c r="H21" s="152"/>
      <c r="J21" s="186"/>
      <c r="K21" s="187"/>
    </row>
    <row r="22" spans="2:11" ht="19.5" customHeight="1">
      <c r="B22" s="178"/>
      <c r="C22" s="212" t="s">
        <v>31</v>
      </c>
      <c r="D22" s="253">
        <v>20</v>
      </c>
      <c r="E22" s="254"/>
      <c r="G22" s="132"/>
      <c r="H22" s="133"/>
      <c r="J22" s="81" t="s">
        <v>46</v>
      </c>
      <c r="K22" s="74">
        <v>18</v>
      </c>
    </row>
    <row r="23" spans="2:11" ht="19.5" customHeight="1">
      <c r="B23" s="178"/>
      <c r="C23" s="212" t="s">
        <v>33</v>
      </c>
      <c r="D23" s="255">
        <v>51.2</v>
      </c>
      <c r="E23" s="256"/>
      <c r="G23" s="134"/>
      <c r="H23" s="135"/>
      <c r="J23" s="81" t="s">
        <v>47</v>
      </c>
      <c r="K23" s="75">
        <v>51.2</v>
      </c>
    </row>
    <row r="24" spans="2:11" ht="19.5" customHeight="1" thickBot="1">
      <c r="B24" s="178"/>
      <c r="C24" s="212" t="s">
        <v>68</v>
      </c>
      <c r="D24" s="255">
        <v>40.2</v>
      </c>
      <c r="E24" s="256"/>
      <c r="G24" s="134"/>
      <c r="H24" s="135"/>
      <c r="J24" s="76" t="s">
        <v>44</v>
      </c>
      <c r="K24" s="71">
        <f>K23/(K22+2)*COS(E2)</f>
        <v>2.56</v>
      </c>
    </row>
    <row r="25" spans="2:11" ht="19.5" customHeight="1" thickBot="1">
      <c r="B25" s="179"/>
      <c r="C25" s="213" t="s">
        <v>39</v>
      </c>
      <c r="D25" s="257">
        <v>19.5</v>
      </c>
      <c r="E25" s="258"/>
      <c r="G25" s="134"/>
      <c r="H25" s="135"/>
      <c r="J25" s="6"/>
      <c r="K25" s="6"/>
    </row>
    <row r="26" spans="2:13" ht="19.5" customHeight="1" thickBot="1">
      <c r="B26" s="177" t="s">
        <v>99</v>
      </c>
      <c r="C26" s="261" t="s">
        <v>38</v>
      </c>
      <c r="D26" s="259">
        <f>L12</f>
        <v>3</v>
      </c>
      <c r="E26" s="260"/>
      <c r="G26" s="134"/>
      <c r="H26" s="135"/>
      <c r="J26" s="180" t="s">
        <v>48</v>
      </c>
      <c r="K26" s="181"/>
      <c r="L26" s="162" t="s">
        <v>50</v>
      </c>
      <c r="M26" s="163"/>
    </row>
    <row r="27" spans="2:13" ht="19.5" customHeight="1" thickBot="1">
      <c r="B27" s="178"/>
      <c r="C27" s="244" t="s">
        <v>35</v>
      </c>
      <c r="D27" s="236">
        <f>J6</f>
        <v>45</v>
      </c>
      <c r="E27" s="237"/>
      <c r="G27" s="134"/>
      <c r="H27" s="135"/>
      <c r="J27" s="22" t="s">
        <v>49</v>
      </c>
      <c r="K27" s="23" t="s">
        <v>49</v>
      </c>
      <c r="L27" s="164"/>
      <c r="M27" s="165"/>
    </row>
    <row r="28" spans="2:13" ht="19.5" customHeight="1">
      <c r="B28" s="178"/>
      <c r="C28" s="242" t="s">
        <v>41</v>
      </c>
      <c r="D28" s="236">
        <f>J14</f>
        <v>0.24437377018902182</v>
      </c>
      <c r="E28" s="237"/>
      <c r="G28" s="134"/>
      <c r="H28" s="135"/>
      <c r="J28" s="24">
        <v>0.2</v>
      </c>
      <c r="K28" s="25">
        <v>6.5</v>
      </c>
      <c r="L28" s="164"/>
      <c r="M28" s="165"/>
    </row>
    <row r="29" spans="2:13" ht="19.5" customHeight="1">
      <c r="B29" s="178"/>
      <c r="C29" s="242" t="s">
        <v>66</v>
      </c>
      <c r="D29" s="236">
        <f>(D23-D24)/2</f>
        <v>5.5</v>
      </c>
      <c r="E29" s="237"/>
      <c r="G29" s="134"/>
      <c r="H29" s="135"/>
      <c r="J29" s="26">
        <v>0.3</v>
      </c>
      <c r="K29" s="27">
        <v>7</v>
      </c>
      <c r="L29" s="164"/>
      <c r="M29" s="165"/>
    </row>
    <row r="30" spans="2:13" ht="19.5" customHeight="1" thickBot="1">
      <c r="B30" s="178"/>
      <c r="C30" s="242" t="s">
        <v>77</v>
      </c>
      <c r="D30" s="236">
        <f>G11</f>
        <v>3.1000000000000014</v>
      </c>
      <c r="E30" s="237"/>
      <c r="G30" s="136"/>
      <c r="H30" s="137"/>
      <c r="J30" s="26">
        <v>0.4</v>
      </c>
      <c r="K30" s="26">
        <v>8</v>
      </c>
      <c r="L30" s="166"/>
      <c r="M30" s="167"/>
    </row>
    <row r="31" spans="2:11" ht="19.5" customHeight="1">
      <c r="B31" s="178"/>
      <c r="C31" s="242" t="s">
        <v>78</v>
      </c>
      <c r="D31" s="236">
        <f>D29-D30</f>
        <v>2.3999999999999986</v>
      </c>
      <c r="E31" s="237"/>
      <c r="G31" s="79" t="s">
        <v>70</v>
      </c>
      <c r="H31" s="72">
        <v>2.5</v>
      </c>
      <c r="J31" s="26">
        <v>0.5</v>
      </c>
      <c r="K31" s="27">
        <v>9</v>
      </c>
    </row>
    <row r="32" spans="2:11" ht="19.5" customHeight="1">
      <c r="B32" s="178"/>
      <c r="C32" s="242" t="s">
        <v>79</v>
      </c>
      <c r="D32" s="236">
        <f>J6*COS(J2)</f>
        <v>42.28616793536588</v>
      </c>
      <c r="E32" s="237"/>
      <c r="G32" s="80" t="s">
        <v>28</v>
      </c>
      <c r="H32" s="73">
        <v>18</v>
      </c>
      <c r="J32" s="26">
        <v>0.6</v>
      </c>
      <c r="K32" s="26">
        <v>10</v>
      </c>
    </row>
    <row r="33" spans="2:11" ht="19.5" customHeight="1">
      <c r="B33" s="178"/>
      <c r="C33" s="83"/>
      <c r="D33" s="105"/>
      <c r="E33" s="106"/>
      <c r="G33" s="80" t="s">
        <v>67</v>
      </c>
      <c r="H33" s="73">
        <v>59.5</v>
      </c>
      <c r="J33" s="27">
        <v>0.7</v>
      </c>
      <c r="K33" s="27">
        <v>11</v>
      </c>
    </row>
    <row r="34" spans="2:11" ht="19.5" customHeight="1" thickBot="1">
      <c r="B34" s="179"/>
      <c r="C34" s="191"/>
      <c r="D34" s="192"/>
      <c r="E34" s="193"/>
      <c r="G34" s="80" t="s">
        <v>74</v>
      </c>
      <c r="H34" s="73">
        <v>53</v>
      </c>
      <c r="J34" s="26">
        <v>0.8</v>
      </c>
      <c r="K34" s="26">
        <v>12</v>
      </c>
    </row>
    <row r="35" spans="2:11" ht="19.5" customHeight="1">
      <c r="B35" s="28"/>
      <c r="C35" s="188" t="s">
        <v>42</v>
      </c>
      <c r="D35" s="189"/>
      <c r="E35" s="190"/>
      <c r="G35" s="77" t="s">
        <v>76</v>
      </c>
      <c r="H35" s="69">
        <f>2*((4*H33*H33)+(J16*J16))/(8*H33)</f>
        <v>59.81997628128856</v>
      </c>
      <c r="J35" s="27">
        <v>0.9</v>
      </c>
      <c r="K35" s="27">
        <v>14</v>
      </c>
    </row>
    <row r="36" spans="2:11" ht="19.5" customHeight="1">
      <c r="B36" s="41"/>
      <c r="C36" s="41"/>
      <c r="D36" s="41"/>
      <c r="E36" s="41"/>
      <c r="G36" s="77" t="s">
        <v>68</v>
      </c>
      <c r="H36" s="69">
        <f>H35-2*H37</f>
        <v>46.18002371871144</v>
      </c>
      <c r="J36" s="26">
        <v>1</v>
      </c>
      <c r="K36" s="26">
        <v>16</v>
      </c>
    </row>
    <row r="37" spans="2:11" ht="19.5" customHeight="1" thickBot="1">
      <c r="B37" s="41"/>
      <c r="C37" s="41"/>
      <c r="D37" s="41"/>
      <c r="E37" s="41"/>
      <c r="G37" s="78" t="s">
        <v>37</v>
      </c>
      <c r="H37" s="70">
        <f>(H35-H34)</f>
        <v>6.819976281288561</v>
      </c>
      <c r="J37" s="26">
        <v>1.25</v>
      </c>
      <c r="K37" s="27">
        <v>18</v>
      </c>
    </row>
    <row r="38" spans="2:11" ht="19.5" customHeight="1" thickBot="1">
      <c r="B38" s="41"/>
      <c r="C38" s="41"/>
      <c r="D38" s="41"/>
      <c r="E38" s="41"/>
      <c r="J38" s="26">
        <v>1.5</v>
      </c>
      <c r="K38" s="26">
        <v>20</v>
      </c>
    </row>
    <row r="39" spans="2:11" ht="19.5" customHeight="1">
      <c r="B39" s="41"/>
      <c r="C39" s="168" t="s">
        <v>97</v>
      </c>
      <c r="D39" s="169"/>
      <c r="E39" s="169"/>
      <c r="F39" s="169"/>
      <c r="G39" s="169"/>
      <c r="H39" s="170"/>
      <c r="J39" s="27">
        <v>1.75</v>
      </c>
      <c r="K39" s="27">
        <v>22</v>
      </c>
    </row>
    <row r="40" spans="2:11" ht="19.5" customHeight="1">
      <c r="B40" s="41"/>
      <c r="C40" s="171"/>
      <c r="D40" s="172"/>
      <c r="E40" s="172"/>
      <c r="F40" s="172"/>
      <c r="G40" s="172"/>
      <c r="H40" s="173"/>
      <c r="J40" s="26">
        <v>2</v>
      </c>
      <c r="K40" s="27">
        <v>24</v>
      </c>
    </row>
    <row r="41" spans="2:11" ht="19.5" customHeight="1">
      <c r="B41" s="41"/>
      <c r="C41" s="171"/>
      <c r="D41" s="172"/>
      <c r="E41" s="172"/>
      <c r="F41" s="172"/>
      <c r="G41" s="172"/>
      <c r="H41" s="173"/>
      <c r="J41" s="27">
        <v>2.25</v>
      </c>
      <c r="K41" s="26">
        <v>25</v>
      </c>
    </row>
    <row r="42" spans="2:11" ht="19.5" customHeight="1">
      <c r="B42" s="41"/>
      <c r="C42" s="171"/>
      <c r="D42" s="172"/>
      <c r="E42" s="172"/>
      <c r="F42" s="172"/>
      <c r="G42" s="172"/>
      <c r="H42" s="173"/>
      <c r="J42" s="26">
        <v>2.5</v>
      </c>
      <c r="K42" s="27">
        <v>27</v>
      </c>
    </row>
    <row r="43" spans="2:11" ht="19.5" customHeight="1">
      <c r="B43" s="41"/>
      <c r="C43" s="171"/>
      <c r="D43" s="172"/>
      <c r="E43" s="172"/>
      <c r="F43" s="172"/>
      <c r="G43" s="172"/>
      <c r="H43" s="173"/>
      <c r="J43" s="27">
        <v>2.75</v>
      </c>
      <c r="K43" s="32">
        <v>30</v>
      </c>
    </row>
    <row r="44" spans="2:11" ht="19.5" customHeight="1">
      <c r="B44" s="41"/>
      <c r="C44" s="171"/>
      <c r="D44" s="172"/>
      <c r="E44" s="172"/>
      <c r="F44" s="172"/>
      <c r="G44" s="172"/>
      <c r="H44" s="173"/>
      <c r="J44" s="26">
        <v>3</v>
      </c>
      <c r="K44" s="26">
        <v>32</v>
      </c>
    </row>
    <row r="45" spans="2:11" ht="19.5" customHeight="1">
      <c r="B45" s="41"/>
      <c r="C45" s="171"/>
      <c r="D45" s="172"/>
      <c r="E45" s="172"/>
      <c r="F45" s="172"/>
      <c r="G45" s="172"/>
      <c r="H45" s="173"/>
      <c r="J45" s="27">
        <v>3.25</v>
      </c>
      <c r="K45" s="32">
        <v>36</v>
      </c>
    </row>
    <row r="46" spans="2:11" ht="19.5" customHeight="1">
      <c r="B46" s="41"/>
      <c r="C46" s="171"/>
      <c r="D46" s="172"/>
      <c r="E46" s="172"/>
      <c r="F46" s="172"/>
      <c r="G46" s="172"/>
      <c r="H46" s="173"/>
      <c r="J46" s="27">
        <v>3.5</v>
      </c>
      <c r="K46" s="27">
        <v>39</v>
      </c>
    </row>
    <row r="47" spans="2:11" ht="19.5" customHeight="1">
      <c r="B47" s="41"/>
      <c r="C47" s="171"/>
      <c r="D47" s="172"/>
      <c r="E47" s="172"/>
      <c r="F47" s="172"/>
      <c r="G47" s="172"/>
      <c r="H47" s="173"/>
      <c r="J47" s="27">
        <v>3.75</v>
      </c>
      <c r="K47" s="26">
        <v>40</v>
      </c>
    </row>
    <row r="48" spans="2:11" ht="19.5" customHeight="1">
      <c r="B48" s="41"/>
      <c r="C48" s="171"/>
      <c r="D48" s="172"/>
      <c r="E48" s="172"/>
      <c r="F48" s="172"/>
      <c r="G48" s="172"/>
      <c r="H48" s="173"/>
      <c r="J48" s="26">
        <v>4</v>
      </c>
      <c r="K48" s="32">
        <v>42</v>
      </c>
    </row>
    <row r="49" spans="2:11" ht="19.5" customHeight="1">
      <c r="B49" s="41"/>
      <c r="C49" s="171"/>
      <c r="D49" s="172"/>
      <c r="E49" s="172"/>
      <c r="F49" s="172"/>
      <c r="G49" s="172"/>
      <c r="H49" s="173"/>
      <c r="J49" s="27">
        <v>4.5</v>
      </c>
      <c r="K49" s="27">
        <v>45</v>
      </c>
    </row>
    <row r="50" spans="2:11" ht="15">
      <c r="B50" s="41"/>
      <c r="C50" s="171"/>
      <c r="D50" s="172"/>
      <c r="E50" s="172"/>
      <c r="F50" s="172"/>
      <c r="G50" s="172"/>
      <c r="H50" s="173"/>
      <c r="J50" s="27">
        <v>4.75</v>
      </c>
      <c r="K50" s="26">
        <v>50</v>
      </c>
    </row>
    <row r="51" spans="2:11" ht="15">
      <c r="B51" s="41"/>
      <c r="C51" s="171"/>
      <c r="D51" s="172"/>
      <c r="E51" s="172"/>
      <c r="F51" s="172"/>
      <c r="G51" s="172"/>
      <c r="H51" s="173"/>
      <c r="J51" s="26">
        <v>5</v>
      </c>
      <c r="K51" s="27">
        <v>55</v>
      </c>
    </row>
    <row r="52" spans="3:11" ht="15">
      <c r="C52" s="171"/>
      <c r="D52" s="172"/>
      <c r="E52" s="172"/>
      <c r="F52" s="172"/>
      <c r="G52" s="172"/>
      <c r="H52" s="173"/>
      <c r="J52" s="27">
        <v>5.5</v>
      </c>
      <c r="K52" s="27">
        <v>60</v>
      </c>
    </row>
    <row r="53" spans="3:11" ht="15.75" thickBot="1">
      <c r="C53" s="174"/>
      <c r="D53" s="175"/>
      <c r="E53" s="175"/>
      <c r="F53" s="175"/>
      <c r="G53" s="175"/>
      <c r="H53" s="176"/>
      <c r="J53" s="33">
        <v>6</v>
      </c>
      <c r="K53" s="34">
        <v>65</v>
      </c>
    </row>
    <row r="54" ht="12.75"/>
    <row r="55" ht="12.75" hidden="1"/>
    <row r="56" ht="12.75" hidden="1"/>
    <row r="57" ht="12.75" hidden="1"/>
  </sheetData>
  <sheetProtection password="FA84" sheet="1" objects="1" scenarios="1"/>
  <mergeCells count="27">
    <mergeCell ref="C17:D17"/>
    <mergeCell ref="C35:E35"/>
    <mergeCell ref="C34:E34"/>
    <mergeCell ref="D22:E22"/>
    <mergeCell ref="D31:E31"/>
    <mergeCell ref="D32:E32"/>
    <mergeCell ref="D26:E26"/>
    <mergeCell ref="D28:E28"/>
    <mergeCell ref="D30:E30"/>
    <mergeCell ref="D29:E29"/>
    <mergeCell ref="D33:E33"/>
    <mergeCell ref="B18:E18"/>
    <mergeCell ref="D19:E19"/>
    <mergeCell ref="D21:E21"/>
    <mergeCell ref="J18:K21"/>
    <mergeCell ref="G18:H21"/>
    <mergeCell ref="D20:E20"/>
    <mergeCell ref="L26:M30"/>
    <mergeCell ref="C39:H53"/>
    <mergeCell ref="B19:B25"/>
    <mergeCell ref="B26:B34"/>
    <mergeCell ref="J26:K26"/>
    <mergeCell ref="G22:H30"/>
    <mergeCell ref="D24:E24"/>
    <mergeCell ref="D27:E27"/>
    <mergeCell ref="D23:E23"/>
    <mergeCell ref="D25:E25"/>
  </mergeCells>
  <hyperlinks>
    <hyperlink ref="C17" r:id="rId1" display="www.muhendislikbilgileri.com"/>
  </hyperlinks>
  <printOptions/>
  <pageMargins left="0.75" right="0.75" top="1" bottom="1" header="0.5" footer="0.5"/>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B1:M56"/>
  <sheetViews>
    <sheetView showGridLines="0" workbookViewId="0" topLeftCell="A17">
      <selection activeCell="C21" sqref="C21"/>
    </sheetView>
  </sheetViews>
  <sheetFormatPr defaultColWidth="9.00390625" defaultRowHeight="12.75" zeroHeight="1" outlineLevelCol="1"/>
  <cols>
    <col min="1" max="1" width="4.875" style="5" customWidth="1"/>
    <col min="2" max="2" width="5.625" style="5" customWidth="1"/>
    <col min="3" max="3" width="33.00390625" style="3" customWidth="1"/>
    <col min="4" max="4" width="14.625" style="4" customWidth="1"/>
    <col min="5" max="5" width="15.125" style="5" customWidth="1"/>
    <col min="6" max="6" width="4.375" style="3" customWidth="1"/>
    <col min="7" max="7" width="20.375" style="6" customWidth="1"/>
    <col min="8" max="8" width="18.00390625" style="6" customWidth="1"/>
    <col min="9" max="9" width="5.00390625" style="3" customWidth="1"/>
    <col min="10" max="10" width="19.875" style="5" hidden="1" customWidth="1" outlineLevel="1"/>
    <col min="11" max="11" width="15.25390625" style="5" hidden="1" customWidth="1" outlineLevel="1"/>
    <col min="12" max="12" width="11.75390625" style="5" hidden="1" customWidth="1"/>
    <col min="13" max="13" width="16.00390625" style="7" hidden="1" customWidth="1"/>
    <col min="14" max="14" width="18.125" style="5" hidden="1" customWidth="1"/>
    <col min="15" max="16384" width="9.125" style="5" hidden="1" customWidth="1"/>
  </cols>
  <sheetData>
    <row r="1" ht="19.5" customHeight="1" hidden="1">
      <c r="E1" s="5" t="s">
        <v>90</v>
      </c>
    </row>
    <row r="2" ht="19.5" customHeight="1" hidden="1"/>
    <row r="3" spans="3:4" ht="19.5" customHeight="1" hidden="1">
      <c r="C3" s="3" t="s">
        <v>53</v>
      </c>
      <c r="D3" s="4">
        <f>D20</f>
        <v>3</v>
      </c>
    </row>
    <row r="4" spans="3:10" ht="19.5" customHeight="1" hidden="1">
      <c r="C4" s="3" t="s">
        <v>2</v>
      </c>
      <c r="D4" s="4">
        <f>D21</f>
        <v>12</v>
      </c>
      <c r="I4" s="3" t="s">
        <v>106</v>
      </c>
      <c r="J4" s="5">
        <f>2*D23*D4/(D4+D5)</f>
        <v>37.666000000000004</v>
      </c>
    </row>
    <row r="5" spans="3:10" ht="19.5" customHeight="1" hidden="1">
      <c r="C5" s="3" t="s">
        <v>3</v>
      </c>
      <c r="D5" s="4">
        <f>E21</f>
        <v>24</v>
      </c>
      <c r="I5" s="3" t="s">
        <v>106</v>
      </c>
      <c r="J5" s="5">
        <f>2*D23*D5/(D5+D4)</f>
        <v>75.33200000000001</v>
      </c>
    </row>
    <row r="6" spans="3:13" ht="19.5" customHeight="1" hidden="1">
      <c r="C6" s="3" t="s">
        <v>19</v>
      </c>
      <c r="D6" s="4">
        <f>D24</f>
        <v>44.84</v>
      </c>
      <c r="F6" s="3" t="s">
        <v>4</v>
      </c>
      <c r="G6" s="6">
        <f>J6+2*D3</f>
        <v>42</v>
      </c>
      <c r="I6" s="3" t="s">
        <v>14</v>
      </c>
      <c r="J6" s="5">
        <f>D3*D4</f>
        <v>36</v>
      </c>
      <c r="L6" s="5" t="s">
        <v>26</v>
      </c>
      <c r="M6" s="7">
        <f>D6-2*J11</f>
        <v>32.098</v>
      </c>
    </row>
    <row r="7" spans="3:13" ht="19.5" customHeight="1" hidden="1">
      <c r="C7" s="3" t="s">
        <v>20</v>
      </c>
      <c r="D7" s="4">
        <f>E24</f>
        <v>79.4</v>
      </c>
      <c r="F7" s="3" t="s">
        <v>5</v>
      </c>
      <c r="G7" s="6">
        <f>J7+2*D4</f>
        <v>96</v>
      </c>
      <c r="I7" s="3" t="s">
        <v>15</v>
      </c>
      <c r="J7" s="5">
        <f>D3*D5</f>
        <v>72</v>
      </c>
      <c r="L7" s="5" t="s">
        <v>27</v>
      </c>
      <c r="M7" s="7">
        <f>D7-2*J11</f>
        <v>66.658</v>
      </c>
    </row>
    <row r="8" spans="3:11" ht="19.5" customHeight="1" hidden="1">
      <c r="C8" s="3" t="s">
        <v>12</v>
      </c>
      <c r="D8" s="4">
        <f>D23</f>
        <v>56.499</v>
      </c>
      <c r="F8" s="3" t="s">
        <v>6</v>
      </c>
      <c r="G8" s="6">
        <f>(D3*(D4+D5)/2)</f>
        <v>54</v>
      </c>
      <c r="I8" s="3" t="s">
        <v>88</v>
      </c>
      <c r="J8" s="5">
        <f>(2*D10*((G13+G14)/(D21+E21))+J9)</f>
        <v>0.03430264931582033</v>
      </c>
      <c r="K8" s="5">
        <f>ROUND(J8,4)</f>
        <v>0.0343</v>
      </c>
    </row>
    <row r="9" spans="3:10" ht="19.5" customHeight="1" hidden="1">
      <c r="C9" s="8" t="s">
        <v>85</v>
      </c>
      <c r="D9" s="4">
        <f>D22</f>
        <v>20</v>
      </c>
      <c r="E9" s="5">
        <f>D9*PI()/180</f>
        <v>0.3490658503988659</v>
      </c>
      <c r="F9" s="3" t="s">
        <v>83</v>
      </c>
      <c r="G9" s="9">
        <f>ATAN(D10)</f>
        <v>0.3490658503988659</v>
      </c>
      <c r="I9" s="3" t="s">
        <v>89</v>
      </c>
      <c r="J9" s="10">
        <f>TAN(G9)-G9</f>
        <v>0.014904383867336446</v>
      </c>
    </row>
    <row r="10" spans="3:11" ht="19.5" customHeight="1" hidden="1">
      <c r="C10" s="8" t="s">
        <v>86</v>
      </c>
      <c r="D10" s="11">
        <f>TAN(E9)</f>
        <v>0.36397023426620234</v>
      </c>
      <c r="F10" s="3" t="s">
        <v>7</v>
      </c>
      <c r="G10" s="9">
        <f>(D8-G8)/D3</f>
        <v>0.8330000000000007</v>
      </c>
      <c r="I10" s="3" t="s">
        <v>91</v>
      </c>
      <c r="K10" s="5" t="s">
        <v>92</v>
      </c>
    </row>
    <row r="11" spans="3:10" ht="19.5" customHeight="1" hidden="1">
      <c r="C11" s="3" t="s">
        <v>87</v>
      </c>
      <c r="D11" s="12">
        <f>D10-(D9*3.14/180)</f>
        <v>0.015081345377313427</v>
      </c>
      <c r="F11" s="3" t="s">
        <v>8</v>
      </c>
      <c r="G11" s="13">
        <f>(D6-J6)/2</f>
        <v>4.420000000000002</v>
      </c>
      <c r="I11" s="3" t="s">
        <v>13</v>
      </c>
      <c r="J11" s="5">
        <f>(2.25+G10-(G13+G14))*D3</f>
        <v>6.371000000000003</v>
      </c>
    </row>
    <row r="12" spans="3:12" ht="19.5" customHeight="1" hidden="1">
      <c r="C12" s="8" t="s">
        <v>23</v>
      </c>
      <c r="D12" s="12">
        <f>COS(D9*3.14/180)</f>
        <v>0.9397531304731841</v>
      </c>
      <c r="F12" s="3" t="s">
        <v>9</v>
      </c>
      <c r="G12" s="13">
        <f>(D7-J7)/2</f>
        <v>3.700000000000003</v>
      </c>
      <c r="I12" s="3" t="s">
        <v>16</v>
      </c>
      <c r="J12" s="14">
        <f>0.5+(D4*D9)/180</f>
        <v>1.8333333333333333</v>
      </c>
      <c r="L12" s="14">
        <f>ROUND(J12,0)</f>
        <v>2</v>
      </c>
    </row>
    <row r="13" spans="3:12" ht="19.5" customHeight="1" hidden="1">
      <c r="C13" s="8" t="s">
        <v>24</v>
      </c>
      <c r="D13" s="12">
        <f>SIN(D9*3.14/180)</f>
        <v>0.34185384854620343</v>
      </c>
      <c r="F13" s="3" t="s">
        <v>10</v>
      </c>
      <c r="G13" s="15">
        <f>1+G10-(G12/D3)</f>
        <v>0.5996666666666663</v>
      </c>
      <c r="I13" s="3" t="s">
        <v>17</v>
      </c>
      <c r="J13" s="14">
        <f>0.5+(D5*D9)/180</f>
        <v>3.1666666666666665</v>
      </c>
      <c r="L13" s="14">
        <f>ROUND(J13,0)</f>
        <v>3</v>
      </c>
    </row>
    <row r="14" spans="6:10" ht="19.5" customHeight="1" hidden="1">
      <c r="F14" s="3" t="s">
        <v>11</v>
      </c>
      <c r="G14" s="15">
        <f>1+G10-(G11/D3)</f>
        <v>0.3596666666666668</v>
      </c>
      <c r="I14" s="3" t="s">
        <v>18</v>
      </c>
      <c r="J14" s="16">
        <f>((PI()*(L12-0.5))+D4*D11)*D12*D3+(2*D3*G13*D13)</f>
        <v>15.025655731123578</v>
      </c>
    </row>
    <row r="15" spans="3:10" ht="19.5" customHeight="1" hidden="1">
      <c r="C15" s="3" t="s">
        <v>44</v>
      </c>
      <c r="D15" s="4">
        <f>E24/(D5+2)</f>
        <v>3.053846153846154</v>
      </c>
      <c r="I15" s="3" t="s">
        <v>25</v>
      </c>
      <c r="J15" s="17">
        <f>((PI()*(L13-0.5))+D5*D11)*D12*D3+(2*D3*G14*D13)</f>
        <v>23.90056947694753</v>
      </c>
    </row>
    <row r="16" ht="19.5" customHeight="1" hidden="1"/>
    <row r="17" spans="3:5" ht="30" customHeight="1" thickBot="1">
      <c r="C17" s="210" t="s">
        <v>111</v>
      </c>
      <c r="D17" s="209"/>
      <c r="E17" s="209"/>
    </row>
    <row r="18" spans="2:8" ht="32.25" customHeight="1" thickBot="1">
      <c r="B18" s="200" t="s">
        <v>98</v>
      </c>
      <c r="C18" s="201"/>
      <c r="D18" s="201"/>
      <c r="E18" s="202"/>
      <c r="G18" s="194" t="s">
        <v>104</v>
      </c>
      <c r="H18" s="195"/>
    </row>
    <row r="19" spans="2:8" ht="19.5" customHeight="1">
      <c r="B19" s="177" t="s">
        <v>40</v>
      </c>
      <c r="C19" s="88"/>
      <c r="D19" s="84" t="s">
        <v>29</v>
      </c>
      <c r="E19" s="85" t="s">
        <v>30</v>
      </c>
      <c r="G19" s="196"/>
      <c r="H19" s="197"/>
    </row>
    <row r="20" spans="2:9" ht="19.5" customHeight="1">
      <c r="B20" s="178"/>
      <c r="C20" s="212" t="s">
        <v>56</v>
      </c>
      <c r="D20" s="245">
        <v>3</v>
      </c>
      <c r="E20" s="246"/>
      <c r="G20" s="196"/>
      <c r="H20" s="197"/>
      <c r="I20" s="6"/>
    </row>
    <row r="21" spans="2:8" ht="19.5" customHeight="1">
      <c r="B21" s="178"/>
      <c r="C21" s="212" t="s">
        <v>28</v>
      </c>
      <c r="D21" s="247">
        <v>12</v>
      </c>
      <c r="E21" s="248">
        <v>24</v>
      </c>
      <c r="G21" s="198"/>
      <c r="H21" s="199"/>
    </row>
    <row r="22" spans="2:8" ht="19.5" customHeight="1">
      <c r="B22" s="178"/>
      <c r="C22" s="212" t="s">
        <v>31</v>
      </c>
      <c r="D22" s="249">
        <v>20</v>
      </c>
      <c r="E22" s="250"/>
      <c r="G22" s="19" t="s">
        <v>46</v>
      </c>
      <c r="H22" s="1">
        <v>84</v>
      </c>
    </row>
    <row r="23" spans="2:8" ht="19.5" customHeight="1">
      <c r="B23" s="178"/>
      <c r="C23" s="212" t="s">
        <v>32</v>
      </c>
      <c r="D23" s="245">
        <v>56.499</v>
      </c>
      <c r="E23" s="246"/>
      <c r="G23" s="19" t="s">
        <v>47</v>
      </c>
      <c r="H23" s="2">
        <v>268.33</v>
      </c>
    </row>
    <row r="24" spans="2:8" ht="19.5" customHeight="1" thickBot="1">
      <c r="B24" s="179"/>
      <c r="C24" s="213" t="s">
        <v>33</v>
      </c>
      <c r="D24" s="251">
        <v>44.84</v>
      </c>
      <c r="E24" s="252">
        <v>79.4</v>
      </c>
      <c r="G24" s="20" t="s">
        <v>44</v>
      </c>
      <c r="H24" s="21">
        <f>H23/(H22+2)</f>
        <v>3.120116279069767</v>
      </c>
    </row>
    <row r="25" spans="2:5" ht="19.5" customHeight="1" thickBot="1">
      <c r="B25" s="203" t="s">
        <v>99</v>
      </c>
      <c r="C25" s="240" t="s">
        <v>35</v>
      </c>
      <c r="D25" s="226">
        <f>J6</f>
        <v>36</v>
      </c>
      <c r="E25" s="227">
        <f>J7</f>
        <v>72</v>
      </c>
    </row>
    <row r="26" spans="2:8" ht="19.5" customHeight="1" thickBot="1">
      <c r="B26" s="204"/>
      <c r="C26" s="244" t="s">
        <v>79</v>
      </c>
      <c r="D26" s="228">
        <f>J6*COS(G9)</f>
        <v>33.828934348292705</v>
      </c>
      <c r="E26" s="229">
        <f>J7*COS(G9)</f>
        <v>67.65786869658541</v>
      </c>
      <c r="G26" s="180" t="s">
        <v>48</v>
      </c>
      <c r="H26" s="181"/>
    </row>
    <row r="27" spans="2:8" ht="19.5" customHeight="1" thickBot="1">
      <c r="B27" s="204"/>
      <c r="C27" s="241" t="s">
        <v>84</v>
      </c>
      <c r="D27" s="228">
        <f>J4</f>
        <v>37.666000000000004</v>
      </c>
      <c r="E27" s="229">
        <f>J5</f>
        <v>75.33200000000001</v>
      </c>
      <c r="G27" s="22" t="s">
        <v>49</v>
      </c>
      <c r="H27" s="23" t="s">
        <v>49</v>
      </c>
    </row>
    <row r="28" spans="2:8" ht="19.5" customHeight="1">
      <c r="B28" s="204"/>
      <c r="C28" s="242" t="s">
        <v>36</v>
      </c>
      <c r="D28" s="230">
        <f>M6</f>
        <v>32.098</v>
      </c>
      <c r="E28" s="231">
        <f>M7</f>
        <v>66.658</v>
      </c>
      <c r="G28" s="24">
        <v>0.2</v>
      </c>
      <c r="H28" s="25">
        <v>6.5</v>
      </c>
    </row>
    <row r="29" spans="2:8" ht="19.5" customHeight="1">
      <c r="B29" s="204"/>
      <c r="C29" s="242" t="s">
        <v>37</v>
      </c>
      <c r="D29" s="232">
        <f>J11</f>
        <v>6.371000000000003</v>
      </c>
      <c r="E29" s="233"/>
      <c r="G29" s="26">
        <v>0.3</v>
      </c>
      <c r="H29" s="27">
        <v>7</v>
      </c>
    </row>
    <row r="30" spans="2:8" ht="19.5" customHeight="1">
      <c r="B30" s="204"/>
      <c r="C30" s="242" t="s">
        <v>81</v>
      </c>
      <c r="D30" s="234">
        <f>G11</f>
        <v>4.420000000000002</v>
      </c>
      <c r="E30" s="235">
        <f>G12</f>
        <v>3.700000000000003</v>
      </c>
      <c r="G30" s="26">
        <v>0.4</v>
      </c>
      <c r="H30" s="26">
        <v>8</v>
      </c>
    </row>
    <row r="31" spans="2:8" ht="19.5" customHeight="1">
      <c r="B31" s="204"/>
      <c r="C31" s="242" t="s">
        <v>82</v>
      </c>
      <c r="D31" s="234">
        <f>D29-D30</f>
        <v>1.9510000000000014</v>
      </c>
      <c r="E31" s="235">
        <f>D29-E30</f>
        <v>2.6710000000000003</v>
      </c>
      <c r="G31" s="26">
        <v>0.5</v>
      </c>
      <c r="H31" s="27">
        <v>9</v>
      </c>
    </row>
    <row r="32" spans="2:8" ht="19.5" customHeight="1">
      <c r="B32" s="204"/>
      <c r="C32" s="242" t="s">
        <v>41</v>
      </c>
      <c r="D32" s="230">
        <f>G13</f>
        <v>0.5996666666666663</v>
      </c>
      <c r="E32" s="231">
        <f>G14</f>
        <v>0.3596666666666668</v>
      </c>
      <c r="G32" s="26">
        <v>0.6</v>
      </c>
      <c r="H32" s="26">
        <v>10</v>
      </c>
    </row>
    <row r="33" spans="2:8" ht="19.5" customHeight="1">
      <c r="B33" s="204"/>
      <c r="C33" s="242" t="s">
        <v>38</v>
      </c>
      <c r="D33" s="230">
        <f>L12</f>
        <v>2</v>
      </c>
      <c r="E33" s="231">
        <f>L13</f>
        <v>3</v>
      </c>
      <c r="G33" s="27">
        <v>0.7</v>
      </c>
      <c r="H33" s="27">
        <v>11</v>
      </c>
    </row>
    <row r="34" spans="2:8" ht="19.5" customHeight="1" thickBot="1">
      <c r="B34" s="205"/>
      <c r="C34" s="243" t="s">
        <v>39</v>
      </c>
      <c r="D34" s="238">
        <f>J14</f>
        <v>15.025655731123578</v>
      </c>
      <c r="E34" s="239">
        <f>J15</f>
        <v>23.90056947694753</v>
      </c>
      <c r="G34" s="26">
        <v>0.8</v>
      </c>
      <c r="H34" s="26">
        <v>12</v>
      </c>
    </row>
    <row r="35" spans="2:8" ht="19.5" customHeight="1">
      <c r="B35" s="89"/>
      <c r="C35" s="154" t="s">
        <v>42</v>
      </c>
      <c r="D35" s="154"/>
      <c r="E35" s="154"/>
      <c r="G35" s="27">
        <v>0.9</v>
      </c>
      <c r="H35" s="27">
        <v>14</v>
      </c>
    </row>
    <row r="36" spans="2:8" ht="19.5" customHeight="1" thickBot="1">
      <c r="B36" s="28"/>
      <c r="C36" s="29"/>
      <c r="D36" s="30"/>
      <c r="E36" s="30"/>
      <c r="G36" s="26">
        <v>1</v>
      </c>
      <c r="H36" s="26">
        <v>16</v>
      </c>
    </row>
    <row r="37" spans="2:8" ht="19.5" customHeight="1">
      <c r="B37" s="28"/>
      <c r="C37" s="29"/>
      <c r="D37" s="90" t="s">
        <v>50</v>
      </c>
      <c r="E37" s="206"/>
      <c r="F37" s="91"/>
      <c r="G37" s="26">
        <v>1.25</v>
      </c>
      <c r="H37" s="27">
        <v>18</v>
      </c>
    </row>
    <row r="38" spans="2:8" ht="19.5" customHeight="1">
      <c r="B38" s="28"/>
      <c r="C38" s="31"/>
      <c r="D38" s="92"/>
      <c r="E38" s="207"/>
      <c r="F38" s="93"/>
      <c r="G38" s="26">
        <v>1.5</v>
      </c>
      <c r="H38" s="26">
        <v>20</v>
      </c>
    </row>
    <row r="39" spans="2:8" ht="19.5" customHeight="1">
      <c r="B39" s="28"/>
      <c r="C39" s="31"/>
      <c r="D39" s="92"/>
      <c r="E39" s="207"/>
      <c r="F39" s="93"/>
      <c r="G39" s="27">
        <v>1.75</v>
      </c>
      <c r="H39" s="27">
        <v>22</v>
      </c>
    </row>
    <row r="40" spans="4:8" ht="19.5" customHeight="1">
      <c r="D40" s="92"/>
      <c r="E40" s="207"/>
      <c r="F40" s="93"/>
      <c r="G40" s="26">
        <v>2</v>
      </c>
      <c r="H40" s="27">
        <v>24</v>
      </c>
    </row>
    <row r="41" spans="4:8" ht="19.5" customHeight="1" thickBot="1">
      <c r="D41" s="94"/>
      <c r="E41" s="208"/>
      <c r="F41" s="95"/>
      <c r="G41" s="27">
        <v>2.25</v>
      </c>
      <c r="H41" s="26">
        <v>25</v>
      </c>
    </row>
    <row r="42" spans="7:8" ht="19.5" customHeight="1" thickBot="1">
      <c r="G42" s="26">
        <v>2.5</v>
      </c>
      <c r="H42" s="27">
        <v>27</v>
      </c>
    </row>
    <row r="43" spans="3:8" ht="19.5" customHeight="1">
      <c r="C43" s="138" t="s">
        <v>100</v>
      </c>
      <c r="D43" s="139"/>
      <c r="E43" s="140"/>
      <c r="G43" s="27">
        <v>2.75</v>
      </c>
      <c r="H43" s="32">
        <v>30</v>
      </c>
    </row>
    <row r="44" spans="3:8" ht="19.5" customHeight="1">
      <c r="C44" s="141"/>
      <c r="D44" s="142"/>
      <c r="E44" s="143"/>
      <c r="G44" s="26">
        <v>3</v>
      </c>
      <c r="H44" s="26">
        <v>32</v>
      </c>
    </row>
    <row r="45" spans="3:8" ht="19.5" customHeight="1">
      <c r="C45" s="141"/>
      <c r="D45" s="142"/>
      <c r="E45" s="143"/>
      <c r="G45" s="27">
        <v>3.25</v>
      </c>
      <c r="H45" s="32">
        <v>36</v>
      </c>
    </row>
    <row r="46" spans="3:8" ht="19.5" customHeight="1">
      <c r="C46" s="141"/>
      <c r="D46" s="142"/>
      <c r="E46" s="143"/>
      <c r="G46" s="27">
        <v>3.5</v>
      </c>
      <c r="H46" s="27">
        <v>39</v>
      </c>
    </row>
    <row r="47" spans="3:8" ht="19.5" customHeight="1">
      <c r="C47" s="141"/>
      <c r="D47" s="142"/>
      <c r="E47" s="143"/>
      <c r="G47" s="27">
        <v>3.75</v>
      </c>
      <c r="H47" s="26">
        <v>40</v>
      </c>
    </row>
    <row r="48" spans="3:8" ht="19.5" customHeight="1">
      <c r="C48" s="141"/>
      <c r="D48" s="142"/>
      <c r="E48" s="143"/>
      <c r="G48" s="26">
        <v>4</v>
      </c>
      <c r="H48" s="32">
        <v>42</v>
      </c>
    </row>
    <row r="49" spans="3:8" ht="19.5" customHeight="1">
      <c r="C49" s="141"/>
      <c r="D49" s="142"/>
      <c r="E49" s="143"/>
      <c r="G49" s="27">
        <v>4.5</v>
      </c>
      <c r="H49" s="27">
        <v>45</v>
      </c>
    </row>
    <row r="50" spans="3:8" ht="19.5" customHeight="1">
      <c r="C50" s="141"/>
      <c r="D50" s="142"/>
      <c r="E50" s="143"/>
      <c r="G50" s="27">
        <v>4.75</v>
      </c>
      <c r="H50" s="26">
        <v>50</v>
      </c>
    </row>
    <row r="51" spans="3:8" ht="15">
      <c r="C51" s="141"/>
      <c r="D51" s="142"/>
      <c r="E51" s="143"/>
      <c r="G51" s="26">
        <v>5</v>
      </c>
      <c r="H51" s="27">
        <v>55</v>
      </c>
    </row>
    <row r="52" spans="3:8" ht="15">
      <c r="C52" s="141"/>
      <c r="D52" s="142"/>
      <c r="E52" s="143"/>
      <c r="G52" s="27">
        <v>5.5</v>
      </c>
      <c r="H52" s="27">
        <v>60</v>
      </c>
    </row>
    <row r="53" spans="3:8" ht="15.75" thickBot="1">
      <c r="C53" s="144"/>
      <c r="D53" s="145"/>
      <c r="E53" s="146"/>
      <c r="G53" s="33">
        <v>6</v>
      </c>
      <c r="H53" s="34">
        <v>65</v>
      </c>
    </row>
    <row r="54" spans="3:5" ht="12.75">
      <c r="C54" s="35"/>
      <c r="D54" s="35"/>
      <c r="E54" s="35"/>
    </row>
    <row r="55" spans="3:5" ht="12.75" hidden="1">
      <c r="C55" s="35"/>
      <c r="D55" s="35"/>
      <c r="E55" s="35"/>
    </row>
    <row r="56" spans="3:5" ht="12.75" hidden="1">
      <c r="C56" s="36"/>
      <c r="D56" s="37"/>
      <c r="E56" s="38"/>
    </row>
  </sheetData>
  <sheetProtection password="FA84" sheet="1" objects="1" scenarios="1"/>
  <mergeCells count="13">
    <mergeCell ref="C17:E17"/>
    <mergeCell ref="D37:F41"/>
    <mergeCell ref="C43:E53"/>
    <mergeCell ref="D29:E29"/>
    <mergeCell ref="C35:E35"/>
    <mergeCell ref="B19:B24"/>
    <mergeCell ref="G18:H21"/>
    <mergeCell ref="G26:H26"/>
    <mergeCell ref="B18:E18"/>
    <mergeCell ref="D20:E20"/>
    <mergeCell ref="D22:E22"/>
    <mergeCell ref="D23:E23"/>
    <mergeCell ref="B25:B34"/>
  </mergeCells>
  <hyperlinks>
    <hyperlink ref="C17" r:id="rId1" display="www.muhendislikbilgileri.com"/>
  </hyperlinks>
  <printOptions/>
  <pageMargins left="0.75" right="0.75" top="1" bottom="1" header="0.5" footer="0.5"/>
  <pageSetup horizontalDpi="600" verticalDpi="600" orientation="portrait" paperSize="9" r:id="rId2"/>
  <ignoredErrors>
    <ignoredError sqref="D31:E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Kardemir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Feridun Dengizek</dc:creator>
  <cp:keywords/>
  <dc:description/>
  <cp:lastModifiedBy>Feridun Dengizek</cp:lastModifiedBy>
  <dcterms:created xsi:type="dcterms:W3CDTF">2015-02-03T10:20:58Z</dcterms:created>
  <dcterms:modified xsi:type="dcterms:W3CDTF">2015-02-19T06:48:40Z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